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67"/>
  </bookViews>
  <sheets>
    <sheet name="明细" sheetId="1" r:id="rId1"/>
    <sheet name="汇总数据分析" sheetId="2" state="hidden" r:id="rId2"/>
  </sheets>
  <externalReferences>
    <externalReference r:id="rId3"/>
  </externalReferences>
  <definedNames>
    <definedName name="_xlnm._FilterDatabase" localSheetId="0" hidden="1">明细!$A$7:$Z$86</definedName>
    <definedName name="_xlnm.Print_Titles" localSheetId="0">明细!$5:$7</definedName>
    <definedName name="_xlnm.Print_Area" localSheetId="0">明细!$A$1:$X$86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<sst xmlns="http://schemas.openxmlformats.org/spreadsheetml/2006/main" count="930" uniqueCount="416">
  <si>
    <t>邻水县2025年度衔接资金年度项目实施计划及绩效目标公告表</t>
  </si>
  <si>
    <t>编制单位：邻水县</t>
  </si>
  <si>
    <t>序号</t>
  </si>
  <si>
    <t>镇</t>
  </si>
  <si>
    <t>项目库信息</t>
  </si>
  <si>
    <t>项目摘要</t>
  </si>
  <si>
    <t>项目预算
总投资
（万元）</t>
  </si>
  <si>
    <t>以前年度资金安排情况</t>
  </si>
  <si>
    <t>2025年度计划安排衔接资金（巩固任务）（万元）</t>
  </si>
  <si>
    <t>项目绩效目标</t>
  </si>
  <si>
    <t>项目名称</t>
  </si>
  <si>
    <t>项目库系统
项目编号</t>
  </si>
  <si>
    <t>项目类型</t>
  </si>
  <si>
    <t>项目二级类型</t>
  </si>
  <si>
    <t>项目子类型</t>
  </si>
  <si>
    <t>项目主管部门</t>
  </si>
  <si>
    <t>项目实施单位</t>
  </si>
  <si>
    <t>项目建设地点（镇或村）</t>
  </si>
  <si>
    <t>建设内容及规模
（含建设标准）</t>
  </si>
  <si>
    <t>中央资金小计</t>
  </si>
  <si>
    <t>一批中央衔接资金</t>
  </si>
  <si>
    <t>二批中央衔接资金</t>
  </si>
  <si>
    <t>省级资金小计</t>
  </si>
  <si>
    <t>一批省级衔接资金</t>
  </si>
  <si>
    <t>市级衔接资金</t>
  </si>
  <si>
    <t>县级县级资金</t>
  </si>
  <si>
    <t>是否纳入脱贫县整合方案</t>
  </si>
  <si>
    <t>巩固任务</t>
  </si>
  <si>
    <t>欠发达国有林场</t>
  </si>
  <si>
    <t>以工代振</t>
  </si>
  <si>
    <r>
      <rPr>
        <sz val="14"/>
        <rFont val="方正仿宋_GBK"/>
        <charset val="134"/>
      </rPr>
      <t>全县各镇</t>
    </r>
  </si>
  <si>
    <r>
      <rPr>
        <sz val="14"/>
        <color theme="1"/>
        <rFont val="Times New Roman"/>
        <charset val="134"/>
      </rPr>
      <t>2025</t>
    </r>
    <r>
      <rPr>
        <sz val="14"/>
        <color theme="1"/>
        <rFont val="方正仿宋_GBK"/>
        <charset val="134"/>
      </rPr>
      <t>年衔接资金庭院经济补助项目（第一批）</t>
    </r>
  </si>
  <si>
    <t>5300001237072237</t>
  </si>
  <si>
    <r>
      <rPr>
        <sz val="14"/>
        <rFont val="方正仿宋_GBK"/>
        <charset val="134"/>
      </rPr>
      <t>产业发展</t>
    </r>
  </si>
  <si>
    <r>
      <rPr>
        <sz val="14"/>
        <color theme="1"/>
        <rFont val="方正仿宋_GBK"/>
        <charset val="134"/>
      </rPr>
      <t>高质量庭院经济</t>
    </r>
  </si>
  <si>
    <r>
      <rPr>
        <sz val="14"/>
        <color theme="1"/>
        <rFont val="方正仿宋_GBK"/>
        <charset val="134"/>
      </rPr>
      <t>庭院特色养殖</t>
    </r>
  </si>
  <si>
    <r>
      <rPr>
        <sz val="14"/>
        <rFont val="方正仿宋_GBK"/>
        <charset val="134"/>
      </rPr>
      <t>县农业农村局</t>
    </r>
  </si>
  <si>
    <r>
      <rPr>
        <sz val="14"/>
        <rFont val="方正仿宋_GBK"/>
        <charset val="134"/>
      </rPr>
      <t>各镇人民政府</t>
    </r>
  </si>
  <si>
    <r>
      <rPr>
        <sz val="14"/>
        <rFont val="方正仿宋_GBK"/>
        <charset val="134"/>
      </rPr>
      <t>邻水县</t>
    </r>
  </si>
  <si>
    <r>
      <rPr>
        <sz val="14"/>
        <rFont val="方正仿宋_GBK"/>
        <charset val="134"/>
      </rPr>
      <t>支持脱贫户和监测对象发展庭院特色经济和到户产业奖补，按实施内容据实补助，每户补助额度不超过</t>
    </r>
    <r>
      <rPr>
        <sz val="14"/>
        <rFont val="Times New Roman"/>
        <charset val="134"/>
      </rPr>
      <t>5000</t>
    </r>
    <r>
      <rPr>
        <sz val="14"/>
        <rFont val="方正仿宋_GBK"/>
        <charset val="134"/>
      </rPr>
      <t>元</t>
    </r>
    <r>
      <rPr>
        <sz val="14"/>
        <rFont val="Times New Roman"/>
        <charset val="134"/>
      </rPr>
      <t>/</t>
    </r>
    <r>
      <rPr>
        <sz val="14"/>
        <rFont val="方正仿宋_GBK"/>
        <charset val="134"/>
      </rPr>
      <t>年</t>
    </r>
  </si>
  <si>
    <r>
      <rPr>
        <sz val="14"/>
        <color theme="1"/>
        <rFont val="方正仿宋_GBK"/>
        <charset val="134"/>
      </rPr>
      <t>否</t>
    </r>
  </si>
  <si>
    <r>
      <rPr>
        <sz val="14"/>
        <color theme="1"/>
        <rFont val="方正仿宋_GBK"/>
        <charset val="134"/>
      </rPr>
      <t>助力脱贫群众和监测对象发展产业，增加生产经营性收入</t>
    </r>
  </si>
  <si>
    <r>
      <rPr>
        <sz val="14"/>
        <color theme="1"/>
        <rFont val="Times New Roman"/>
        <charset val="134"/>
      </rPr>
      <t>2025</t>
    </r>
    <r>
      <rPr>
        <sz val="14"/>
        <rFont val="方正仿宋_GBK"/>
        <charset val="134"/>
      </rPr>
      <t>年衔接资金庭院经济补助项目（第二批）</t>
    </r>
  </si>
  <si>
    <t>5300001250032457</t>
  </si>
  <si>
    <r>
      <rPr>
        <sz val="14"/>
        <rFont val="Times New Roman"/>
        <charset val="0"/>
      </rPr>
      <t>2025</t>
    </r>
    <r>
      <rPr>
        <sz val="14"/>
        <rFont val="方正仿宋_GBK"/>
        <charset val="0"/>
      </rPr>
      <t>年衔接资金脱贫劳动力（监测对象）跨省就业务工补助项目（一季度）</t>
    </r>
  </si>
  <si>
    <t>5300001237024321</t>
  </si>
  <si>
    <r>
      <rPr>
        <sz val="14"/>
        <rFont val="方正仿宋_GBK"/>
        <charset val="134"/>
      </rPr>
      <t>就业项目</t>
    </r>
  </si>
  <si>
    <r>
      <rPr>
        <sz val="14"/>
        <color theme="1"/>
        <rFont val="方正仿宋_GBK"/>
        <charset val="134"/>
      </rPr>
      <t>务工补助</t>
    </r>
  </si>
  <si>
    <r>
      <rPr>
        <sz val="14"/>
        <color theme="1"/>
        <rFont val="方正仿宋_GBK"/>
        <charset val="134"/>
      </rPr>
      <t>交通费补助</t>
    </r>
  </si>
  <si>
    <r>
      <rPr>
        <sz val="14"/>
        <rFont val="方正仿宋_GBK"/>
        <charset val="134"/>
      </rPr>
      <t>对</t>
    </r>
    <r>
      <rPr>
        <sz val="14"/>
        <rFont val="Times New Roman"/>
        <charset val="134"/>
      </rPr>
      <t>2025</t>
    </r>
    <r>
      <rPr>
        <sz val="14"/>
        <rFont val="方正仿宋_GBK"/>
        <charset val="134"/>
      </rPr>
      <t>年脱贫人口县域外省域内、省外稳定务工就业</t>
    </r>
    <r>
      <rPr>
        <sz val="14"/>
        <rFont val="Times New Roman"/>
        <charset val="134"/>
      </rPr>
      <t>3</t>
    </r>
    <r>
      <rPr>
        <sz val="14"/>
        <rFont val="方正仿宋_GBK"/>
        <charset val="134"/>
      </rPr>
      <t>个月以上，分别给予</t>
    </r>
    <r>
      <rPr>
        <sz val="14"/>
        <rFont val="Times New Roman"/>
        <charset val="134"/>
      </rPr>
      <t>200</t>
    </r>
    <r>
      <rPr>
        <sz val="14"/>
        <rFont val="方正仿宋_GBK"/>
        <charset val="134"/>
      </rPr>
      <t>元和</t>
    </r>
    <r>
      <rPr>
        <sz val="14"/>
        <rFont val="Times New Roman"/>
        <charset val="134"/>
      </rPr>
      <t>800</t>
    </r>
    <r>
      <rPr>
        <sz val="14"/>
        <rFont val="方正仿宋_GBK"/>
        <charset val="134"/>
      </rPr>
      <t>元一次交通补助，县域外省域内、省外稳定务工就业</t>
    </r>
    <r>
      <rPr>
        <sz val="14"/>
        <rFont val="Times New Roman"/>
        <charset val="134"/>
      </rPr>
      <t>6</t>
    </r>
    <r>
      <rPr>
        <sz val="14"/>
        <rFont val="方正仿宋_GBK"/>
        <charset val="134"/>
      </rPr>
      <t>个月及以上，分别给予</t>
    </r>
    <r>
      <rPr>
        <sz val="14"/>
        <rFont val="Times New Roman"/>
        <charset val="134"/>
      </rPr>
      <t>400</t>
    </r>
    <r>
      <rPr>
        <sz val="14"/>
        <rFont val="方正仿宋_GBK"/>
        <charset val="134"/>
      </rPr>
      <t>元和</t>
    </r>
    <r>
      <rPr>
        <sz val="14"/>
        <rFont val="Times New Roman"/>
        <charset val="134"/>
      </rPr>
      <t>1200</t>
    </r>
    <r>
      <rPr>
        <sz val="14"/>
        <rFont val="方正仿宋_GBK"/>
        <charset val="134"/>
      </rPr>
      <t>元一次交通补助。</t>
    </r>
  </si>
  <si>
    <r>
      <rPr>
        <sz val="14"/>
        <color theme="1"/>
        <rFont val="方正仿宋_GBK"/>
        <charset val="134"/>
      </rPr>
      <t>增加脱贫群众和监测对象跨省务工支持</t>
    </r>
  </si>
  <si>
    <r>
      <rPr>
        <sz val="14"/>
        <rFont val="Times New Roman"/>
        <charset val="0"/>
      </rPr>
      <t>2025</t>
    </r>
    <r>
      <rPr>
        <sz val="14"/>
        <rFont val="方正仿宋_GBK"/>
        <charset val="0"/>
      </rPr>
      <t>年衔接资金脱贫劳动力（监测对象）跨省就业务工补助项目（二季度）</t>
    </r>
  </si>
  <si>
    <t>5300001250030875</t>
  </si>
  <si>
    <r>
      <rPr>
        <sz val="14"/>
        <rFont val="Times New Roman"/>
        <charset val="0"/>
      </rPr>
      <t>2025</t>
    </r>
    <r>
      <rPr>
        <sz val="14"/>
        <rFont val="方正仿宋_GBK"/>
        <charset val="0"/>
      </rPr>
      <t>年衔接资金脱贫劳动力（监测对象）跨省就业务工补助项目（三季度）</t>
    </r>
  </si>
  <si>
    <t>5300001250031122</t>
  </si>
  <si>
    <r>
      <rPr>
        <sz val="14"/>
        <rFont val="Times New Roman"/>
        <charset val="0"/>
      </rPr>
      <t>2025</t>
    </r>
    <r>
      <rPr>
        <sz val="14"/>
        <rFont val="方正仿宋_GBK"/>
        <charset val="0"/>
      </rPr>
      <t>年衔接资金脱贫劳动力（监测对象）跨省就业务工补助项目（四季度）</t>
    </r>
  </si>
  <si>
    <t>5300001250031407</t>
  </si>
  <si>
    <r>
      <rPr>
        <sz val="14"/>
        <rFont val="Times New Roman"/>
        <charset val="0"/>
      </rPr>
      <t>2025</t>
    </r>
    <r>
      <rPr>
        <sz val="14"/>
        <rFont val="方正仿宋_GBK"/>
        <charset val="0"/>
      </rPr>
      <t>年衔接资金公益性岗位补助项目（一季度）</t>
    </r>
  </si>
  <si>
    <t>5300001237025389</t>
  </si>
  <si>
    <r>
      <rPr>
        <sz val="14"/>
        <color theme="1"/>
        <rFont val="方正仿宋_GBK"/>
        <charset val="134"/>
      </rPr>
      <t>公益性岗位</t>
    </r>
  </si>
  <si>
    <r>
      <rPr>
        <sz val="14"/>
        <color theme="1"/>
        <rFont val="方正仿宋_GBK"/>
        <charset val="134"/>
      </rPr>
      <t>新开发公益性岗位</t>
    </r>
    <r>
      <rPr>
        <sz val="14"/>
        <color theme="1"/>
        <rFont val="Times New Roman"/>
        <charset val="134"/>
      </rPr>
      <t>350</t>
    </r>
    <r>
      <rPr>
        <sz val="14"/>
        <color theme="1"/>
        <rFont val="方正仿宋_GBK"/>
        <charset val="134"/>
      </rPr>
      <t>个，标准：</t>
    </r>
    <r>
      <rPr>
        <sz val="14"/>
        <color theme="1"/>
        <rFont val="Times New Roman"/>
        <charset val="134"/>
      </rPr>
      <t>500</t>
    </r>
    <r>
      <rPr>
        <sz val="14"/>
        <color theme="1"/>
        <rFont val="方正仿宋_GBK"/>
        <charset val="134"/>
      </rPr>
      <t>元</t>
    </r>
    <r>
      <rPr>
        <sz val="14"/>
        <color theme="1"/>
        <rFont val="Times New Roman"/>
        <charset val="134"/>
      </rPr>
      <t>/</t>
    </r>
    <r>
      <rPr>
        <sz val="14"/>
        <color theme="1"/>
        <rFont val="方正仿宋_GBK"/>
        <charset val="134"/>
      </rPr>
      <t>人</t>
    </r>
    <r>
      <rPr>
        <sz val="14"/>
        <color theme="1"/>
        <rFont val="Times New Roman"/>
        <charset val="134"/>
      </rPr>
      <t>·</t>
    </r>
    <r>
      <rPr>
        <sz val="14"/>
        <color theme="1"/>
        <rFont val="方正仿宋_GBK"/>
        <charset val="134"/>
      </rPr>
      <t>月</t>
    </r>
  </si>
  <si>
    <r>
      <rPr>
        <sz val="14"/>
        <color theme="1"/>
        <rFont val="方正仿宋_GBK"/>
        <charset val="134"/>
      </rPr>
      <t>增加脱贫群众和监测对象务工增收</t>
    </r>
  </si>
  <si>
    <r>
      <rPr>
        <sz val="14"/>
        <color theme="1"/>
        <rFont val="方正仿宋_GBK"/>
        <charset val="134"/>
      </rPr>
      <t>全县各镇</t>
    </r>
  </si>
  <si>
    <r>
      <rPr>
        <sz val="14"/>
        <rFont val="Times New Roman"/>
        <charset val="134"/>
      </rPr>
      <t>2025</t>
    </r>
    <r>
      <rPr>
        <sz val="14"/>
        <rFont val="方正仿宋_GBK"/>
        <charset val="134"/>
      </rPr>
      <t>年衔接资金公益性岗位补助项目（二季度）</t>
    </r>
  </si>
  <si>
    <t>5300001250033227</t>
  </si>
  <si>
    <r>
      <rPr>
        <sz val="14"/>
        <color theme="1"/>
        <rFont val="方正仿宋_GBK"/>
        <charset val="134"/>
      </rPr>
      <t>新开发公益性岗位</t>
    </r>
    <r>
      <rPr>
        <sz val="14"/>
        <color theme="1"/>
        <rFont val="Times New Roman"/>
        <charset val="134"/>
      </rPr>
      <t>500</t>
    </r>
    <r>
      <rPr>
        <sz val="14"/>
        <color theme="1"/>
        <rFont val="方正仿宋_GBK"/>
        <charset val="134"/>
      </rPr>
      <t>个，标准：</t>
    </r>
    <r>
      <rPr>
        <sz val="14"/>
        <color theme="1"/>
        <rFont val="Times New Roman"/>
        <charset val="134"/>
      </rPr>
      <t>500</t>
    </r>
    <r>
      <rPr>
        <sz val="14"/>
        <color theme="1"/>
        <rFont val="方正仿宋_GBK"/>
        <charset val="134"/>
      </rPr>
      <t>元</t>
    </r>
    <r>
      <rPr>
        <sz val="14"/>
        <color theme="1"/>
        <rFont val="Times New Roman"/>
        <charset val="134"/>
      </rPr>
      <t>/</t>
    </r>
    <r>
      <rPr>
        <sz val="14"/>
        <color theme="1"/>
        <rFont val="方正仿宋_GBK"/>
        <charset val="134"/>
      </rPr>
      <t>人</t>
    </r>
    <r>
      <rPr>
        <sz val="14"/>
        <color theme="1"/>
        <rFont val="Times New Roman"/>
        <charset val="134"/>
      </rPr>
      <t>·</t>
    </r>
    <r>
      <rPr>
        <sz val="14"/>
        <color theme="1"/>
        <rFont val="方正仿宋_GBK"/>
        <charset val="134"/>
      </rPr>
      <t>月</t>
    </r>
  </si>
  <si>
    <r>
      <rPr>
        <sz val="14"/>
        <rFont val="Times New Roman"/>
        <charset val="134"/>
      </rPr>
      <t>2025</t>
    </r>
    <r>
      <rPr>
        <sz val="14"/>
        <rFont val="方正仿宋_GBK"/>
        <charset val="134"/>
      </rPr>
      <t>年衔接资金公益性岗位补助项目（三季度）</t>
    </r>
  </si>
  <si>
    <t>5300001250033653</t>
  </si>
  <si>
    <r>
      <rPr>
        <sz val="14"/>
        <rFont val="Times New Roman"/>
        <charset val="134"/>
      </rPr>
      <t>2025</t>
    </r>
    <r>
      <rPr>
        <sz val="14"/>
        <rFont val="方正仿宋_GBK"/>
        <charset val="134"/>
      </rPr>
      <t>年衔接资金公益性岗位补助项目（四季度）</t>
    </r>
  </si>
  <si>
    <t>5300001250034929</t>
  </si>
  <si>
    <r>
      <rPr>
        <sz val="14"/>
        <rFont val="Times New Roman"/>
        <charset val="134"/>
      </rPr>
      <t>2025</t>
    </r>
    <r>
      <rPr>
        <sz val="14"/>
        <rFont val="方正仿宋_GBK"/>
        <charset val="134"/>
      </rPr>
      <t>年度易地搬迁贷款贴息（一期）</t>
    </r>
  </si>
  <si>
    <t>5300001240880100</t>
  </si>
  <si>
    <r>
      <rPr>
        <sz val="14"/>
        <rFont val="方正仿宋_GBK"/>
        <charset val="134"/>
      </rPr>
      <t>易地搬迁后扶</t>
    </r>
  </si>
  <si>
    <r>
      <rPr>
        <sz val="14"/>
        <color theme="1"/>
        <rFont val="方正仿宋_GBK"/>
        <charset val="134"/>
      </rPr>
      <t>易地搬迁后扶</t>
    </r>
  </si>
  <si>
    <r>
      <rPr>
        <sz val="14"/>
        <color theme="1"/>
        <rFont val="方正仿宋_GBK"/>
        <charset val="134"/>
      </rPr>
      <t>易地扶贫搬迁贷款债券贴息补助</t>
    </r>
  </si>
  <si>
    <r>
      <rPr>
        <sz val="14"/>
        <rFont val="方正仿宋_GBK"/>
        <charset val="134"/>
      </rPr>
      <t>易地扶贫搬迁贷款贴息</t>
    </r>
  </si>
  <si>
    <r>
      <rPr>
        <sz val="14"/>
        <color theme="1"/>
        <rFont val="方正仿宋_GBK"/>
        <charset val="134"/>
      </rPr>
      <t>用于规划内的易地扶贫搬迁贷款贴息</t>
    </r>
  </si>
  <si>
    <r>
      <rPr>
        <sz val="14"/>
        <rFont val="Times New Roman"/>
        <charset val="134"/>
      </rPr>
      <t>2025</t>
    </r>
    <r>
      <rPr>
        <sz val="14"/>
        <rFont val="方正仿宋_GBK"/>
        <charset val="134"/>
      </rPr>
      <t>年度易地搬迁贷款贴息（二期）</t>
    </r>
  </si>
  <si>
    <t>5300001254439855</t>
  </si>
  <si>
    <t>否</t>
  </si>
  <si>
    <r>
      <rPr>
        <sz val="14"/>
        <rFont val="Times New Roman"/>
        <charset val="134"/>
      </rPr>
      <t>2025</t>
    </r>
    <r>
      <rPr>
        <sz val="14"/>
        <rFont val="方正仿宋_GBK"/>
        <charset val="134"/>
      </rPr>
      <t>年度易地搬迁贷款贴息（三期）</t>
    </r>
  </si>
  <si>
    <t>5300001254439756</t>
  </si>
  <si>
    <r>
      <rPr>
        <sz val="14"/>
        <rFont val="Times New Roman"/>
        <charset val="0"/>
      </rPr>
      <t>2025</t>
    </r>
    <r>
      <rPr>
        <sz val="14"/>
        <rFont val="方正仿宋_GBK"/>
        <charset val="0"/>
      </rPr>
      <t>年衔接资金小额信贷补贴</t>
    </r>
  </si>
  <si>
    <t>5300001237071381</t>
  </si>
  <si>
    <r>
      <rPr>
        <sz val="14"/>
        <color theme="1"/>
        <rFont val="方正仿宋_GBK"/>
        <charset val="134"/>
      </rPr>
      <t>金融保险配套项目</t>
    </r>
  </si>
  <si>
    <r>
      <rPr>
        <sz val="14"/>
        <color theme="1"/>
        <rFont val="方正仿宋_GBK"/>
        <charset val="134"/>
      </rPr>
      <t>小额信贷补贴</t>
    </r>
  </si>
  <si>
    <r>
      <rPr>
        <sz val="14"/>
        <rFont val="方正仿宋_GBK"/>
        <charset val="134"/>
      </rPr>
      <t>小额信贷补贴</t>
    </r>
  </si>
  <si>
    <r>
      <rPr>
        <sz val="14"/>
        <rFont val="Times New Roman"/>
        <charset val="134"/>
      </rPr>
      <t>2025</t>
    </r>
    <r>
      <rPr>
        <sz val="14"/>
        <rFont val="方正仿宋_GBK"/>
        <charset val="134"/>
      </rPr>
      <t>年城南镇芭蕉村集体经济发展项目</t>
    </r>
  </si>
  <si>
    <t>5300001241043113</t>
  </si>
  <si>
    <r>
      <rPr>
        <sz val="14"/>
        <color theme="1"/>
        <rFont val="方正仿宋_GBK"/>
        <charset val="134"/>
      </rPr>
      <t>新型农村集体经济发展项目</t>
    </r>
  </si>
  <si>
    <r>
      <rPr>
        <sz val="14"/>
        <rFont val="方正仿宋_GBK"/>
        <charset val="134"/>
      </rPr>
      <t>县委组织部</t>
    </r>
  </si>
  <si>
    <r>
      <rPr>
        <sz val="14"/>
        <rFont val="方正仿宋_GBK"/>
        <charset val="134"/>
      </rPr>
      <t>城南镇人民政府</t>
    </r>
  </si>
  <si>
    <r>
      <rPr>
        <sz val="14"/>
        <rFont val="方正仿宋_GBK"/>
        <charset val="134"/>
      </rPr>
      <t>城南镇</t>
    </r>
  </si>
  <si>
    <r>
      <rPr>
        <sz val="14"/>
        <rFont val="方正仿宋_GBK"/>
        <charset val="134"/>
      </rPr>
      <t>在县域选取</t>
    </r>
    <r>
      <rPr>
        <sz val="14"/>
        <rFont val="Times New Roman"/>
        <charset val="134"/>
      </rPr>
      <t>14</t>
    </r>
    <r>
      <rPr>
        <sz val="14"/>
        <rFont val="方正仿宋_GBK"/>
        <charset val="134"/>
      </rPr>
      <t>个村作为</t>
    </r>
    <r>
      <rPr>
        <sz val="14"/>
        <rFont val="Times New Roman"/>
        <charset val="134"/>
      </rPr>
      <t>2025</t>
    </r>
    <r>
      <rPr>
        <sz val="14"/>
        <rFont val="方正仿宋_GBK"/>
        <charset val="134"/>
      </rPr>
      <t>年集体经济扶持村对象（具体名单及实施内容以审定的实施方案为准），补助标准：</t>
    </r>
    <r>
      <rPr>
        <sz val="14"/>
        <rFont val="Times New Roman"/>
        <charset val="134"/>
      </rPr>
      <t>150</t>
    </r>
    <r>
      <rPr>
        <sz val="14"/>
        <rFont val="方正仿宋_GBK"/>
        <charset val="134"/>
      </rPr>
      <t>万元</t>
    </r>
    <r>
      <rPr>
        <sz val="14"/>
        <rFont val="Times New Roman"/>
        <charset val="134"/>
      </rPr>
      <t>/</t>
    </r>
    <r>
      <rPr>
        <sz val="14"/>
        <rFont val="方正仿宋_GBK"/>
        <charset val="134"/>
      </rPr>
      <t>村。</t>
    </r>
  </si>
  <si>
    <r>
      <rPr>
        <sz val="14"/>
        <rFont val="方正仿宋_GBK"/>
        <charset val="134"/>
      </rPr>
      <t>扶持壮大村集体经济</t>
    </r>
  </si>
  <si>
    <r>
      <rPr>
        <sz val="14"/>
        <rFont val="Times New Roman"/>
        <charset val="134"/>
      </rPr>
      <t>2025</t>
    </r>
    <r>
      <rPr>
        <sz val="14"/>
        <rFont val="方正仿宋_GBK"/>
        <charset val="134"/>
      </rPr>
      <t>年观音桥镇六合寨村集体经济发展项目</t>
    </r>
  </si>
  <si>
    <t>5300001250051515</t>
  </si>
  <si>
    <r>
      <rPr>
        <sz val="14"/>
        <rFont val="方正仿宋_GBK"/>
        <charset val="134"/>
      </rPr>
      <t>观音桥镇人民政府</t>
    </r>
  </si>
  <si>
    <r>
      <rPr>
        <sz val="14"/>
        <rFont val="方正仿宋_GBK"/>
        <charset val="134"/>
      </rPr>
      <t>观音桥</t>
    </r>
  </si>
  <si>
    <r>
      <rPr>
        <sz val="14"/>
        <rFont val="Times New Roman"/>
        <charset val="134"/>
      </rPr>
      <t>2025</t>
    </r>
    <r>
      <rPr>
        <sz val="14"/>
        <rFont val="方正仿宋_GBK"/>
        <charset val="134"/>
      </rPr>
      <t>年牟家镇乱石村集体经济发展项目</t>
    </r>
  </si>
  <si>
    <t>5300001250052983</t>
  </si>
  <si>
    <r>
      <rPr>
        <sz val="14"/>
        <rFont val="方正仿宋_GBK"/>
        <charset val="134"/>
      </rPr>
      <t>牟家镇人民政府</t>
    </r>
  </si>
  <si>
    <r>
      <rPr>
        <sz val="14"/>
        <rFont val="方正仿宋_GBK"/>
        <charset val="134"/>
      </rPr>
      <t>牟家镇</t>
    </r>
  </si>
  <si>
    <r>
      <rPr>
        <sz val="14"/>
        <rFont val="Times New Roman"/>
        <charset val="134"/>
      </rPr>
      <t>2025</t>
    </r>
    <r>
      <rPr>
        <sz val="14"/>
        <rFont val="方正仿宋_GBK"/>
        <charset val="134"/>
      </rPr>
      <t>年高滩镇青童庵村集体经济发展项目</t>
    </r>
  </si>
  <si>
    <t>5300001250054280</t>
  </si>
  <si>
    <r>
      <rPr>
        <sz val="14"/>
        <rFont val="方正仿宋_GBK"/>
        <charset val="134"/>
      </rPr>
      <t>高滩镇人民政府</t>
    </r>
  </si>
  <si>
    <r>
      <rPr>
        <sz val="14"/>
        <rFont val="方正仿宋_GBK"/>
        <charset val="134"/>
      </rPr>
      <t>高滩镇</t>
    </r>
  </si>
  <si>
    <r>
      <rPr>
        <sz val="14"/>
        <rFont val="Times New Roman"/>
        <charset val="134"/>
      </rPr>
      <t>2025</t>
    </r>
    <r>
      <rPr>
        <sz val="14"/>
        <rFont val="方正仿宋_GBK"/>
        <charset val="134"/>
      </rPr>
      <t>年坛同镇蓼叶寺村集体经济发展项目</t>
    </r>
  </si>
  <si>
    <t>5300001250056115</t>
  </si>
  <si>
    <r>
      <rPr>
        <sz val="14"/>
        <rFont val="方正仿宋_GBK"/>
        <charset val="134"/>
      </rPr>
      <t>坛同镇人民政府</t>
    </r>
  </si>
  <si>
    <r>
      <rPr>
        <sz val="14"/>
        <rFont val="方正仿宋_GBK"/>
        <charset val="134"/>
      </rPr>
      <t>坛同镇</t>
    </r>
  </si>
  <si>
    <r>
      <rPr>
        <sz val="14"/>
        <rFont val="Times New Roman"/>
        <charset val="134"/>
      </rPr>
      <t>2025</t>
    </r>
    <r>
      <rPr>
        <sz val="14"/>
        <rFont val="方正仿宋_GBK"/>
        <charset val="134"/>
      </rPr>
      <t>年九龙镇七星村集体经济发展项目</t>
    </r>
  </si>
  <si>
    <t>5300001250058802</t>
  </si>
  <si>
    <r>
      <rPr>
        <sz val="14"/>
        <rFont val="方正仿宋_GBK"/>
        <charset val="134"/>
      </rPr>
      <t>九龙镇人民政府</t>
    </r>
  </si>
  <si>
    <r>
      <rPr>
        <sz val="14"/>
        <rFont val="方正仿宋_GBK"/>
        <charset val="134"/>
      </rPr>
      <t>九龙镇</t>
    </r>
  </si>
  <si>
    <r>
      <rPr>
        <sz val="14"/>
        <rFont val="Times New Roman"/>
        <charset val="134"/>
      </rPr>
      <t>2025</t>
    </r>
    <r>
      <rPr>
        <sz val="14"/>
        <rFont val="方正仿宋_GBK"/>
        <charset val="134"/>
      </rPr>
      <t>年九龙镇农华村集体经济发展项目</t>
    </r>
  </si>
  <si>
    <t>5300001250061161</t>
  </si>
  <si>
    <r>
      <rPr>
        <sz val="14"/>
        <rFont val="Times New Roman"/>
        <charset val="134"/>
      </rPr>
      <t>2025</t>
    </r>
    <r>
      <rPr>
        <sz val="14"/>
        <rFont val="方正仿宋_GBK"/>
        <charset val="134"/>
      </rPr>
      <t>年黎家镇高峰场村集体经济发展项目</t>
    </r>
  </si>
  <si>
    <t>5300001250063513</t>
  </si>
  <si>
    <r>
      <rPr>
        <sz val="14"/>
        <rFont val="方正仿宋_GBK"/>
        <charset val="134"/>
      </rPr>
      <t>黎家镇人民政府</t>
    </r>
  </si>
  <si>
    <r>
      <rPr>
        <sz val="14"/>
        <rFont val="方正仿宋_GBK"/>
        <charset val="134"/>
      </rPr>
      <t>黎家镇</t>
    </r>
  </si>
  <si>
    <r>
      <rPr>
        <sz val="14"/>
        <rFont val="Times New Roman"/>
        <charset val="134"/>
      </rPr>
      <t>2025</t>
    </r>
    <r>
      <rPr>
        <sz val="14"/>
        <rFont val="方正仿宋_GBK"/>
        <charset val="134"/>
      </rPr>
      <t>年御临镇文武村集体经济发展项目</t>
    </r>
  </si>
  <si>
    <t>5300001250065029</t>
  </si>
  <si>
    <r>
      <rPr>
        <sz val="14"/>
        <rFont val="方正仿宋_GBK"/>
        <charset val="134"/>
      </rPr>
      <t>御临镇人民政府</t>
    </r>
  </si>
  <si>
    <r>
      <rPr>
        <sz val="14"/>
        <rFont val="方正仿宋_GBK"/>
        <charset val="134"/>
      </rPr>
      <t>御临镇</t>
    </r>
  </si>
  <si>
    <r>
      <rPr>
        <sz val="14"/>
        <rFont val="Times New Roman"/>
        <charset val="134"/>
      </rPr>
      <t>2025</t>
    </r>
    <r>
      <rPr>
        <sz val="14"/>
        <rFont val="方正仿宋_GBK"/>
        <charset val="134"/>
      </rPr>
      <t>年石永镇石合场村集体经济发展项目</t>
    </r>
  </si>
  <si>
    <t>5300001250066736</t>
  </si>
  <si>
    <r>
      <rPr>
        <sz val="14"/>
        <rFont val="方正仿宋_GBK"/>
        <charset val="134"/>
      </rPr>
      <t>石永镇人民政府</t>
    </r>
  </si>
  <si>
    <r>
      <rPr>
        <sz val="14"/>
        <rFont val="方正仿宋_GBK"/>
        <charset val="134"/>
      </rPr>
      <t>石永镇</t>
    </r>
  </si>
  <si>
    <r>
      <rPr>
        <sz val="14"/>
        <rFont val="Times New Roman"/>
        <charset val="134"/>
      </rPr>
      <t>2025</t>
    </r>
    <r>
      <rPr>
        <sz val="14"/>
        <rFont val="方正仿宋_GBK"/>
        <charset val="134"/>
      </rPr>
      <t>年太和镇秧田沟村集体经济发展项目</t>
    </r>
  </si>
  <si>
    <t>5300001250067942</t>
  </si>
  <si>
    <r>
      <rPr>
        <sz val="14"/>
        <rFont val="方正仿宋_GBK"/>
        <charset val="134"/>
      </rPr>
      <t>太和镇人民政府</t>
    </r>
  </si>
  <si>
    <r>
      <rPr>
        <sz val="14"/>
        <rFont val="方正仿宋_GBK"/>
        <charset val="134"/>
      </rPr>
      <t>太和镇</t>
    </r>
  </si>
  <si>
    <r>
      <rPr>
        <sz val="14"/>
        <rFont val="Times New Roman"/>
        <charset val="134"/>
      </rPr>
      <t>2025</t>
    </r>
    <r>
      <rPr>
        <sz val="14"/>
        <rFont val="方正仿宋_GBK"/>
        <charset val="134"/>
      </rPr>
      <t>年王家镇岩河村集体经济发展项目</t>
    </r>
  </si>
  <si>
    <t>5300001250068848</t>
  </si>
  <si>
    <r>
      <rPr>
        <sz val="14"/>
        <rFont val="方正仿宋_GBK"/>
        <charset val="134"/>
      </rPr>
      <t>王家镇人民政府</t>
    </r>
  </si>
  <si>
    <r>
      <rPr>
        <sz val="14"/>
        <rFont val="方正仿宋_GBK"/>
        <charset val="134"/>
      </rPr>
      <t>王家镇</t>
    </r>
  </si>
  <si>
    <r>
      <rPr>
        <sz val="14"/>
        <rFont val="Times New Roman"/>
        <charset val="134"/>
      </rPr>
      <t>2025</t>
    </r>
    <r>
      <rPr>
        <sz val="14"/>
        <rFont val="方正仿宋_GBK"/>
        <charset val="134"/>
      </rPr>
      <t>年王家镇寒安村集体经济发展项目</t>
    </r>
  </si>
  <si>
    <t>5300001250069393</t>
  </si>
  <si>
    <r>
      <t>2025</t>
    </r>
    <r>
      <rPr>
        <sz val="14"/>
        <rFont val="方正仿宋_GBK"/>
        <charset val="134"/>
      </rPr>
      <t>年三古镇双丰村集体经济发展项目</t>
    </r>
  </si>
  <si>
    <t>5300001250067667</t>
  </si>
  <si>
    <r>
      <rPr>
        <sz val="14"/>
        <rFont val="方正仿宋_GBK"/>
        <charset val="134"/>
      </rPr>
      <t>三古镇人民政府</t>
    </r>
  </si>
  <si>
    <r>
      <rPr>
        <sz val="14"/>
        <rFont val="方正仿宋_GBK"/>
        <charset val="134"/>
      </rPr>
      <t>三古镇</t>
    </r>
  </si>
  <si>
    <r>
      <rPr>
        <sz val="14"/>
        <rFont val="Times New Roman"/>
        <charset val="0"/>
      </rPr>
      <t>2025</t>
    </r>
    <r>
      <rPr>
        <sz val="14"/>
        <rFont val="方正仿宋_GBK"/>
        <charset val="0"/>
      </rPr>
      <t>年衔接资金项目管理费</t>
    </r>
  </si>
  <si>
    <t>5300001241046834</t>
  </si>
  <si>
    <r>
      <rPr>
        <sz val="14"/>
        <rFont val="方正仿宋_GBK"/>
        <charset val="134"/>
      </rPr>
      <t>项目管理费</t>
    </r>
  </si>
  <si>
    <r>
      <rPr>
        <sz val="14"/>
        <color theme="1"/>
        <rFont val="方正仿宋_GBK"/>
        <charset val="134"/>
      </rPr>
      <t>项目管理费</t>
    </r>
  </si>
  <si>
    <r>
      <rPr>
        <sz val="14"/>
        <rFont val="方正仿宋_GBK"/>
        <charset val="134"/>
      </rPr>
      <t>项目设计预算、审计结算等推进项目建设</t>
    </r>
  </si>
  <si>
    <r>
      <rPr>
        <sz val="14"/>
        <color theme="1"/>
        <rFont val="Times New Roman"/>
        <charset val="134"/>
      </rPr>
      <t>2025</t>
    </r>
    <r>
      <rPr>
        <sz val="14"/>
        <color theme="1"/>
        <rFont val="方正仿宋_GBK"/>
        <charset val="134"/>
      </rPr>
      <t>年衔接资金雨露计划补助项目（春季）</t>
    </r>
  </si>
  <si>
    <t>5300001237024914</t>
  </si>
  <si>
    <r>
      <rPr>
        <sz val="14"/>
        <rFont val="方正仿宋_GBK"/>
        <charset val="134"/>
      </rPr>
      <t>巩固三保障成果</t>
    </r>
  </si>
  <si>
    <r>
      <rPr>
        <sz val="14"/>
        <color theme="1"/>
        <rFont val="方正仿宋_GBK"/>
        <charset val="134"/>
      </rPr>
      <t>教育</t>
    </r>
  </si>
  <si>
    <r>
      <rPr>
        <sz val="14"/>
        <color theme="1"/>
        <rFont val="方正仿宋_GBK"/>
        <charset val="134"/>
      </rPr>
      <t>享受</t>
    </r>
    <r>
      <rPr>
        <sz val="14"/>
        <color theme="1"/>
        <rFont val="Times New Roman"/>
        <charset val="134"/>
      </rPr>
      <t>“</t>
    </r>
    <r>
      <rPr>
        <sz val="14"/>
        <color theme="1"/>
        <rFont val="方正仿宋_GBK"/>
        <charset val="134"/>
      </rPr>
      <t>雨露计划</t>
    </r>
    <r>
      <rPr>
        <sz val="14"/>
        <color theme="1"/>
        <rFont val="Times New Roman"/>
        <charset val="134"/>
      </rPr>
      <t>”</t>
    </r>
    <r>
      <rPr>
        <sz val="14"/>
        <color theme="1"/>
        <rFont val="方正仿宋_GBK"/>
        <charset val="134"/>
      </rPr>
      <t>职业教育补助</t>
    </r>
  </si>
  <si>
    <r>
      <rPr>
        <sz val="14"/>
        <rFont val="Times New Roman"/>
        <charset val="0"/>
      </rPr>
      <t>“</t>
    </r>
    <r>
      <rPr>
        <sz val="14"/>
        <rFont val="方正仿宋_GBK"/>
        <charset val="0"/>
      </rPr>
      <t>雨露计划</t>
    </r>
    <r>
      <rPr>
        <sz val="14"/>
        <rFont val="Times New Roman"/>
        <charset val="0"/>
      </rPr>
      <t>”</t>
    </r>
    <r>
      <rPr>
        <sz val="14"/>
        <rFont val="方正仿宋_GBK"/>
        <charset val="0"/>
      </rPr>
      <t>补助项目，补助人数</t>
    </r>
    <r>
      <rPr>
        <sz val="14"/>
        <rFont val="Times New Roman"/>
        <charset val="0"/>
      </rPr>
      <t>1000</t>
    </r>
    <r>
      <rPr>
        <sz val="14"/>
        <rFont val="方正仿宋_GBK"/>
        <charset val="0"/>
      </rPr>
      <t>人</t>
    </r>
  </si>
  <si>
    <r>
      <rPr>
        <sz val="14"/>
        <color theme="1"/>
        <rFont val="Times New Roman"/>
        <charset val="134"/>
      </rPr>
      <t>2025</t>
    </r>
    <r>
      <rPr>
        <sz val="14"/>
        <color theme="1"/>
        <rFont val="方正仿宋_GBK"/>
        <charset val="134"/>
      </rPr>
      <t>年衔接资金雨露计划补助项目（秋季）</t>
    </r>
  </si>
  <si>
    <t>5300001250031850</t>
  </si>
  <si>
    <r>
      <rPr>
        <sz val="14"/>
        <color theme="1"/>
        <rFont val="方正仿宋_GBK"/>
        <charset val="134"/>
      </rPr>
      <t>九龙镇</t>
    </r>
  </si>
  <si>
    <r>
      <rPr>
        <sz val="14"/>
        <color theme="1"/>
        <rFont val="Times New Roman"/>
        <charset val="134"/>
      </rPr>
      <t>2025</t>
    </r>
    <r>
      <rPr>
        <sz val="14"/>
        <color theme="1"/>
        <rFont val="方正仿宋_GBK"/>
        <charset val="134"/>
      </rPr>
      <t>年衔接资金九龙镇宜居宜业和美乡村建设产业提升建设项目</t>
    </r>
  </si>
  <si>
    <t>5300001245545006</t>
  </si>
  <si>
    <r>
      <rPr>
        <sz val="14"/>
        <color theme="1"/>
        <rFont val="方正仿宋_GBK"/>
        <charset val="134"/>
      </rPr>
      <t>生产项目</t>
    </r>
  </si>
  <si>
    <r>
      <rPr>
        <sz val="14"/>
        <color theme="1"/>
        <rFont val="方正仿宋_GBK"/>
        <charset val="134"/>
      </rPr>
      <t>种植业基地</t>
    </r>
  </si>
  <si>
    <r>
      <rPr>
        <sz val="14"/>
        <rFont val="方正仿宋_GBK"/>
        <charset val="134"/>
      </rPr>
      <t>在九龙镇开展宜居宜业和美乡村建设产业提升行动村</t>
    </r>
    <r>
      <rPr>
        <sz val="14"/>
        <rFont val="Times New Roman"/>
        <charset val="134"/>
      </rPr>
      <t>2</t>
    </r>
    <r>
      <rPr>
        <sz val="14"/>
        <rFont val="方正仿宋_GBK"/>
        <charset val="134"/>
      </rPr>
      <t>个。（具体实施以设计为准）</t>
    </r>
  </si>
  <si>
    <r>
      <rPr>
        <sz val="14"/>
        <rFont val="方正仿宋_GBK"/>
        <charset val="134"/>
      </rPr>
      <t>改善人居环境，增加集体收入</t>
    </r>
  </si>
  <si>
    <r>
      <rPr>
        <sz val="14"/>
        <rFont val="Times New Roman"/>
        <charset val="0"/>
      </rPr>
      <t>2025</t>
    </r>
    <r>
      <rPr>
        <sz val="14"/>
        <rFont val="方正仿宋_GBK"/>
        <charset val="0"/>
      </rPr>
      <t>年度衔接资金邻水县山洪灾害危险区责任人公益性岗位项目</t>
    </r>
  </si>
  <si>
    <t>5300001259743404</t>
  </si>
  <si>
    <r>
      <rPr>
        <sz val="14"/>
        <rFont val="方正仿宋_GBK"/>
        <charset val="134"/>
      </rPr>
      <t>县水务局</t>
    </r>
  </si>
  <si>
    <r>
      <rPr>
        <sz val="14"/>
        <rFont val="方正仿宋_GBK"/>
        <charset val="134"/>
      </rPr>
      <t>支持脱贫人口（含监测帮扶对象）山洪灾害危险区责任人公益性岗位</t>
    </r>
  </si>
  <si>
    <r>
      <rPr>
        <sz val="14"/>
        <color rgb="FF000000"/>
        <rFont val="方正仿宋_GBK"/>
        <charset val="134"/>
      </rPr>
      <t>对山洪灾害点监测预警建设</t>
    </r>
  </si>
  <si>
    <r>
      <rPr>
        <sz val="14"/>
        <rFont val="Times New Roman"/>
        <charset val="0"/>
      </rPr>
      <t>2025</t>
    </r>
    <r>
      <rPr>
        <sz val="14"/>
        <rFont val="方正仿宋_GBK"/>
        <charset val="0"/>
      </rPr>
      <t>年衔接资金帮扶产业巩固提升建设项目（一期）</t>
    </r>
  </si>
  <si>
    <t>5300001259745631</t>
  </si>
  <si>
    <r>
      <rPr>
        <sz val="14"/>
        <rFont val="方正仿宋_GBK"/>
        <charset val="134"/>
      </rPr>
      <t>在县域选取点位对</t>
    </r>
    <r>
      <rPr>
        <sz val="14"/>
        <rFont val="Times New Roman"/>
        <charset val="134"/>
      </rPr>
      <t>“</t>
    </r>
    <r>
      <rPr>
        <sz val="14"/>
        <rFont val="方正仿宋_GBK"/>
        <charset val="134"/>
      </rPr>
      <t>四个一批</t>
    </r>
    <r>
      <rPr>
        <sz val="14"/>
        <rFont val="Times New Roman"/>
        <charset val="134"/>
      </rPr>
      <t>”</t>
    </r>
    <r>
      <rPr>
        <sz val="14"/>
        <rFont val="方正仿宋_GBK"/>
        <charset val="134"/>
      </rPr>
      <t>帮扶产业开展巩固提升建设。</t>
    </r>
    <r>
      <rPr>
        <sz val="14"/>
        <rFont val="Times New Roman"/>
        <charset val="134"/>
      </rPr>
      <t xml:space="preserve">
</t>
    </r>
    <r>
      <rPr>
        <sz val="14"/>
        <rFont val="方正仿宋_GBK"/>
        <charset val="134"/>
      </rPr>
      <t>（具体实施以设计为准</t>
    </r>
    <r>
      <rPr>
        <sz val="14"/>
        <rFont val="Times New Roman"/>
        <charset val="134"/>
      </rPr>
      <t>)</t>
    </r>
  </si>
  <si>
    <r>
      <rPr>
        <sz val="14"/>
        <color rgb="FF000000"/>
        <rFont val="方正仿宋_GBK"/>
        <charset val="134"/>
      </rPr>
      <t>带动周边群众务工，增加务工收入。</t>
    </r>
  </si>
  <si>
    <r>
      <rPr>
        <sz val="14"/>
        <rFont val="方正仿宋_GBK"/>
        <charset val="134"/>
      </rPr>
      <t>柑子镇</t>
    </r>
  </si>
  <si>
    <r>
      <rPr>
        <sz val="14"/>
        <rFont val="Times New Roman"/>
        <charset val="134"/>
      </rPr>
      <t>2025</t>
    </r>
    <r>
      <rPr>
        <sz val="14"/>
        <rFont val="方正仿宋_GBK"/>
        <charset val="134"/>
      </rPr>
      <t>年衔接资金柑子镇缪氏庄园提档升级建设项目</t>
    </r>
  </si>
  <si>
    <t>5300001259748032</t>
  </si>
  <si>
    <r>
      <rPr>
        <sz val="14"/>
        <color theme="1"/>
        <rFont val="方正仿宋_GBK"/>
        <charset val="134"/>
      </rPr>
      <t>配套设施项目</t>
    </r>
  </si>
  <si>
    <r>
      <rPr>
        <sz val="14"/>
        <color theme="1"/>
        <rFont val="方正仿宋_GBK"/>
        <charset val="134"/>
      </rPr>
      <t>产业园（区）</t>
    </r>
  </si>
  <si>
    <r>
      <rPr>
        <sz val="14"/>
        <rFont val="方正仿宋_GBK"/>
        <charset val="0"/>
      </rPr>
      <t>县农业农村局</t>
    </r>
  </si>
  <si>
    <r>
      <rPr>
        <sz val="14"/>
        <rFont val="方正仿宋_GBK"/>
        <charset val="134"/>
      </rPr>
      <t>柑子镇人民政府</t>
    </r>
  </si>
  <si>
    <r>
      <rPr>
        <sz val="14"/>
        <rFont val="方正仿宋_GBK"/>
        <charset val="134"/>
      </rPr>
      <t>菜垭村</t>
    </r>
  </si>
  <si>
    <r>
      <rPr>
        <sz val="14"/>
        <rFont val="方正仿宋_GBK"/>
        <charset val="134"/>
      </rPr>
      <t>水肥一体化升级改造建设，主要包含喷灌设备购置安装和基站建设等建设内容。具体建设内容及建设标准以设计方案为准，总补助资金不超过</t>
    </r>
    <r>
      <rPr>
        <sz val="14"/>
        <rFont val="Times New Roman"/>
        <charset val="134"/>
      </rPr>
      <t>11</t>
    </r>
    <r>
      <rPr>
        <sz val="14"/>
        <rFont val="方正仿宋_GBK"/>
        <charset val="134"/>
      </rPr>
      <t>万元。</t>
    </r>
  </si>
  <si>
    <r>
      <rPr>
        <sz val="14"/>
        <color theme="1"/>
        <rFont val="方正仿宋_GBK"/>
        <charset val="134"/>
      </rPr>
      <t>改善群众种植生产条件</t>
    </r>
  </si>
  <si>
    <r>
      <rPr>
        <sz val="14"/>
        <rFont val="方正仿宋_GBK"/>
        <charset val="134"/>
      </rPr>
      <t>大棚薄膜升级改造建设，主要包含大棚薄膜和电动卷膜器购置安装等建设内容。具体建设内容及建设标准以设计方案为准，总补助资金不超过</t>
    </r>
    <r>
      <rPr>
        <sz val="14"/>
        <rFont val="Times New Roman"/>
        <charset val="134"/>
      </rPr>
      <t>65</t>
    </r>
    <r>
      <rPr>
        <sz val="14"/>
        <rFont val="方正仿宋_GBK"/>
        <charset val="134"/>
      </rPr>
      <t>万元。</t>
    </r>
  </si>
  <si>
    <r>
      <rPr>
        <sz val="14"/>
        <rFont val="方正仿宋_GBK"/>
        <charset val="134"/>
      </rPr>
      <t>高标准大棚电动遮阳网建设。具体建设内容及建设标准以设计方案为准，总补助资金不超过</t>
    </r>
    <r>
      <rPr>
        <sz val="14"/>
        <rFont val="Times New Roman"/>
        <charset val="134"/>
      </rPr>
      <t>314</t>
    </r>
    <r>
      <rPr>
        <sz val="14"/>
        <rFont val="方正仿宋_GBK"/>
        <charset val="134"/>
      </rPr>
      <t>万元。</t>
    </r>
  </si>
  <si>
    <r>
      <rPr>
        <sz val="14"/>
        <rFont val="Times New Roman"/>
        <charset val="134"/>
      </rPr>
      <t>2025</t>
    </r>
    <r>
      <rPr>
        <sz val="14"/>
        <rFont val="方正仿宋_GBK"/>
        <charset val="134"/>
      </rPr>
      <t>年衔接资金乡村产业发展基及配套基础设施建设项目</t>
    </r>
  </si>
  <si>
    <t>5300001259749963</t>
  </si>
  <si>
    <r>
      <rPr>
        <sz val="14"/>
        <color theme="1"/>
        <rFont val="方正仿宋_GBK"/>
        <charset val="134"/>
      </rPr>
      <t>小型农田水利设施建设</t>
    </r>
  </si>
  <si>
    <r>
      <rPr>
        <sz val="14"/>
        <rFont val="方正仿宋_GBK"/>
        <charset val="134"/>
      </rPr>
      <t>在县域内优选</t>
    </r>
    <r>
      <rPr>
        <sz val="14"/>
        <rFont val="Times New Roman"/>
        <charset val="134"/>
      </rPr>
      <t>1</t>
    </r>
    <r>
      <rPr>
        <sz val="14"/>
        <rFont val="方正仿宋_GBK"/>
        <charset val="134"/>
      </rPr>
      <t>个镇实施特色产业发展及配套设施建设。（具体实施以设计为准）</t>
    </r>
  </si>
  <si>
    <r>
      <rPr>
        <sz val="14"/>
        <color theme="1"/>
        <rFont val="方正仿宋_GBK"/>
        <charset val="134"/>
      </rPr>
      <t>发展产业，带动周边群众务工，增加务工收入。</t>
    </r>
  </si>
  <si>
    <r>
      <rPr>
        <sz val="14"/>
        <rFont val="方正仿宋_GBK"/>
        <charset val="134"/>
      </rPr>
      <t>提前下达部分邻水县</t>
    </r>
    <r>
      <rPr>
        <sz val="14"/>
        <rFont val="Times New Roman"/>
        <charset val="134"/>
      </rPr>
      <t>2025</t>
    </r>
    <r>
      <rPr>
        <sz val="14"/>
        <rFont val="方正仿宋_GBK"/>
        <charset val="134"/>
      </rPr>
      <t>年度衔接推进乡村振兴补助资金项目</t>
    </r>
  </si>
  <si>
    <t>5300001259751395</t>
  </si>
  <si>
    <r>
      <rPr>
        <sz val="14"/>
        <rFont val="方正仿宋_GBK"/>
        <charset val="134"/>
      </rPr>
      <t>乡村建设行动</t>
    </r>
  </si>
  <si>
    <r>
      <rPr>
        <sz val="14"/>
        <color theme="1"/>
        <rFont val="方正仿宋_GBK"/>
        <charset val="134"/>
      </rPr>
      <t>农村基础设施（含产业配套基础设施）</t>
    </r>
  </si>
  <si>
    <r>
      <rPr>
        <sz val="14"/>
        <color theme="1"/>
        <rFont val="方正仿宋_GBK"/>
        <charset val="134"/>
      </rPr>
      <t>农村道路建设（通村路、通户路、小型桥梁等）</t>
    </r>
  </si>
  <si>
    <r>
      <rPr>
        <sz val="14"/>
        <rFont val="方正仿宋_GBK"/>
        <charset val="134"/>
      </rPr>
      <t>各镇</t>
    </r>
  </si>
  <si>
    <r>
      <rPr>
        <sz val="14"/>
        <rFont val="方正仿宋_GBK"/>
        <charset val="134"/>
      </rPr>
      <t>和美乡村建设补短</t>
    </r>
  </si>
  <si>
    <r>
      <rPr>
        <sz val="14"/>
        <color theme="1"/>
        <rFont val="方正仿宋_GBK"/>
        <charset val="134"/>
      </rPr>
      <t>补齐设施短板，改善人居环境</t>
    </r>
  </si>
  <si>
    <r>
      <rPr>
        <sz val="14"/>
        <rFont val="方正仿宋_GBK"/>
        <charset val="0"/>
      </rPr>
      <t>邻水县</t>
    </r>
    <r>
      <rPr>
        <sz val="14"/>
        <color theme="1"/>
        <rFont val="Times New Roman"/>
        <charset val="0"/>
      </rPr>
      <t>2025</t>
    </r>
    <r>
      <rPr>
        <sz val="14"/>
        <color theme="1"/>
        <rFont val="方正仿宋_GBK"/>
        <charset val="0"/>
      </rPr>
      <t>年省级财政优势特色产业乡镇建设项目</t>
    </r>
  </si>
  <si>
    <t>5300001280811757</t>
  </si>
  <si>
    <r>
      <rPr>
        <sz val="14"/>
        <rFont val="方正仿宋_GBK"/>
        <charset val="134"/>
      </rPr>
      <t>单独编制实施方案报请县委县政府审批</t>
    </r>
  </si>
  <si>
    <r>
      <rPr>
        <sz val="14"/>
        <color theme="1"/>
        <rFont val="方正仿宋_GBK"/>
        <charset val="134"/>
      </rPr>
      <t>带动周边群众发展、带动生产</t>
    </r>
  </si>
  <si>
    <r>
      <rPr>
        <sz val="14"/>
        <rFont val="方正仿宋_GBK"/>
        <charset val="0"/>
      </rPr>
      <t>邻水县</t>
    </r>
    <r>
      <rPr>
        <sz val="14"/>
        <color theme="1"/>
        <rFont val="Times New Roman"/>
        <charset val="0"/>
      </rPr>
      <t>2025</t>
    </r>
    <r>
      <rPr>
        <sz val="14"/>
        <color theme="1"/>
        <rFont val="方正仿宋_GBK"/>
        <charset val="0"/>
      </rPr>
      <t>年省级优势特色产业（粮油类）集群建设项目（一期）</t>
    </r>
  </si>
  <si>
    <t>5300001280812284</t>
  </si>
  <si>
    <r>
      <rPr>
        <sz val="14"/>
        <rFont val="方正仿宋_GBK"/>
        <charset val="0"/>
      </rPr>
      <t>邻水县</t>
    </r>
    <r>
      <rPr>
        <sz val="14"/>
        <color theme="1"/>
        <rFont val="Times New Roman"/>
        <charset val="0"/>
      </rPr>
      <t>2025</t>
    </r>
    <r>
      <rPr>
        <sz val="14"/>
        <color theme="1"/>
        <rFont val="方正仿宋_GBK"/>
        <charset val="0"/>
      </rPr>
      <t>年省级优势特色产业（粮油类）集群建设项目（二期）</t>
    </r>
  </si>
  <si>
    <t>5300001280813106</t>
  </si>
  <si>
    <r>
      <rPr>
        <sz val="14"/>
        <rFont val="方正仿宋_GBK"/>
        <charset val="0"/>
      </rPr>
      <t>邻水县</t>
    </r>
    <r>
      <rPr>
        <sz val="14"/>
        <rFont val="Times New Roman"/>
        <charset val="0"/>
      </rPr>
      <t>2025</t>
    </r>
    <r>
      <rPr>
        <sz val="14"/>
        <rFont val="方正仿宋_GBK"/>
        <charset val="0"/>
      </rPr>
      <t>年省级优势特色产业（南广生猪）集群建设项目（一期）</t>
    </r>
  </si>
  <si>
    <t>5300001280813675</t>
  </si>
  <si>
    <r>
      <rPr>
        <sz val="14"/>
        <rFont val="方正仿宋_GBK"/>
        <charset val="0"/>
      </rPr>
      <t>邻水县</t>
    </r>
    <r>
      <rPr>
        <sz val="14"/>
        <rFont val="Times New Roman"/>
        <charset val="0"/>
      </rPr>
      <t>2025</t>
    </r>
    <r>
      <rPr>
        <sz val="14"/>
        <rFont val="方正仿宋_GBK"/>
        <charset val="0"/>
      </rPr>
      <t>年省级优势特色产业（南广生猪）集群建设项目（二期）</t>
    </r>
  </si>
  <si>
    <t>5300001280814005</t>
  </si>
  <si>
    <r>
      <rPr>
        <sz val="14"/>
        <rFont val="Times New Roman"/>
        <charset val="0"/>
      </rPr>
      <t>2025</t>
    </r>
    <r>
      <rPr>
        <sz val="14"/>
        <rFont val="方正仿宋_GBK"/>
        <charset val="0"/>
      </rPr>
      <t>年度巩固拓展脱贫攻坚成果同乡村振兴有效衔接到户补短等建设项目</t>
    </r>
  </si>
  <si>
    <t>5300001321158183</t>
  </si>
  <si>
    <r>
      <rPr>
        <sz val="14"/>
        <color theme="1"/>
        <rFont val="方正仿宋_GBK"/>
        <charset val="134"/>
      </rPr>
      <t>产业发展</t>
    </r>
  </si>
  <si>
    <r>
      <rPr>
        <sz val="14"/>
        <color theme="1"/>
        <rFont val="方正仿宋_GBK"/>
        <charset val="134"/>
      </rPr>
      <t>产业项目</t>
    </r>
  </si>
  <si>
    <r>
      <rPr>
        <sz val="14"/>
        <rFont val="方正仿宋_GBK"/>
        <charset val="134"/>
      </rPr>
      <t>种植业基地</t>
    </r>
  </si>
  <si>
    <t>各镇</t>
  </si>
  <si>
    <r>
      <rPr>
        <sz val="14"/>
        <rFont val="方正仿宋_GBK"/>
        <charset val="134"/>
      </rPr>
      <t>实施巩固拓展脱贫攻坚成果同乡村振兴有效衔接到户补短等建设项目</t>
    </r>
  </si>
  <si>
    <r>
      <rPr>
        <sz val="14"/>
        <color theme="1"/>
        <rFont val="方正仿宋_GBK"/>
        <charset val="134"/>
      </rPr>
      <t>到户补短，改善群众生产生活条件，助力群众增收</t>
    </r>
  </si>
  <si>
    <r>
      <rPr>
        <sz val="14"/>
        <rFont val="方正仿宋_GBK"/>
        <charset val="134"/>
      </rPr>
      <t>高滩镇人居环境改善项目（一期）</t>
    </r>
  </si>
  <si>
    <t>5300001236305040</t>
  </si>
  <si>
    <r>
      <rPr>
        <sz val="14"/>
        <color theme="1"/>
        <rFont val="方正仿宋_GBK"/>
        <charset val="134"/>
      </rPr>
      <t>乡村建设行动</t>
    </r>
  </si>
  <si>
    <r>
      <rPr>
        <sz val="14"/>
        <color theme="1"/>
        <rFont val="方正仿宋_GBK"/>
        <charset val="134"/>
      </rPr>
      <t>人居环境整治</t>
    </r>
  </si>
  <si>
    <r>
      <rPr>
        <sz val="14"/>
        <color theme="1"/>
        <rFont val="方正仿宋_GBK"/>
        <charset val="134"/>
      </rPr>
      <t>村容村貌提升</t>
    </r>
  </si>
  <si>
    <r>
      <rPr>
        <sz val="14"/>
        <color rgb="FF000000"/>
        <rFont val="方正仿宋_GBK"/>
        <charset val="134"/>
      </rPr>
      <t>子中社区</t>
    </r>
  </si>
  <si>
    <r>
      <rPr>
        <sz val="14"/>
        <rFont val="方正仿宋_GBK"/>
        <charset val="134"/>
      </rPr>
      <t>对约</t>
    </r>
    <r>
      <rPr>
        <sz val="14"/>
        <rFont val="Times New Roman"/>
        <charset val="134"/>
      </rPr>
      <t>49</t>
    </r>
    <r>
      <rPr>
        <sz val="14"/>
        <rFont val="方正仿宋_GBK"/>
        <charset val="134"/>
      </rPr>
      <t>户农户周边区域开展人居环境改善提升，重点实施粪污治理工程、微田园建设、院落提升、村组路建设等内容。</t>
    </r>
  </si>
  <si>
    <r>
      <rPr>
        <sz val="14"/>
        <color theme="1"/>
        <rFont val="方正仿宋_GBK"/>
        <charset val="134"/>
      </rPr>
      <t>改善群众生产生活环境</t>
    </r>
  </si>
  <si>
    <r>
      <rPr>
        <sz val="14"/>
        <color rgb="FF000000"/>
        <rFont val="方正仿宋_GBK"/>
        <charset val="134"/>
      </rPr>
      <t>长渠村</t>
    </r>
  </si>
  <si>
    <r>
      <rPr>
        <sz val="14"/>
        <rFont val="方正仿宋_GBK"/>
        <charset val="134"/>
      </rPr>
      <t>对约</t>
    </r>
    <r>
      <rPr>
        <sz val="14"/>
        <rFont val="Times New Roman"/>
        <charset val="0"/>
      </rPr>
      <t>22</t>
    </r>
    <r>
      <rPr>
        <sz val="14"/>
        <rFont val="方正仿宋_GBK"/>
        <charset val="134"/>
      </rPr>
      <t>户农户周边区域开展人居环境改善提升，重点实施粪污治理工程、微田园建设、院落提升、村组路建设等内容。</t>
    </r>
  </si>
  <si>
    <r>
      <rPr>
        <sz val="14"/>
        <rFont val="方正仿宋_GBK"/>
        <charset val="134"/>
      </rPr>
      <t>青童庵村</t>
    </r>
  </si>
  <si>
    <r>
      <rPr>
        <sz val="14"/>
        <rFont val="方正仿宋_GBK"/>
        <charset val="134"/>
      </rPr>
      <t>对约</t>
    </r>
    <r>
      <rPr>
        <sz val="14"/>
        <rFont val="Times New Roman"/>
        <charset val="0"/>
      </rPr>
      <t>39</t>
    </r>
    <r>
      <rPr>
        <sz val="14"/>
        <rFont val="方正仿宋_GBK"/>
        <charset val="134"/>
      </rPr>
      <t>户农户周边区域开展人居环境改善提升，重点实施粪污治理工程、微田园建设、院落提升、村组路建设等内容。</t>
    </r>
  </si>
  <si>
    <r>
      <rPr>
        <sz val="14"/>
        <rFont val="方正仿宋_GBK"/>
        <charset val="134"/>
      </rPr>
      <t>石马河村</t>
    </r>
    <r>
      <rPr>
        <sz val="14"/>
        <rFont val="Times New Roman"/>
        <charset val="0"/>
      </rPr>
      <t xml:space="preserve">
</t>
    </r>
    <r>
      <rPr>
        <sz val="14"/>
        <rFont val="方正仿宋_GBK"/>
        <charset val="134"/>
      </rPr>
      <t>（</t>
    </r>
    <r>
      <rPr>
        <sz val="14"/>
        <rFont val="Times New Roman"/>
        <charset val="0"/>
      </rPr>
      <t>S208</t>
    </r>
    <r>
      <rPr>
        <sz val="14"/>
        <rFont val="方正仿宋_GBK"/>
        <charset val="134"/>
      </rPr>
      <t>沿线段）</t>
    </r>
  </si>
  <si>
    <r>
      <rPr>
        <sz val="14"/>
        <rFont val="方正仿宋_GBK"/>
        <charset val="134"/>
      </rPr>
      <t>对约</t>
    </r>
    <r>
      <rPr>
        <sz val="14"/>
        <rFont val="Times New Roman"/>
        <charset val="0"/>
      </rPr>
      <t>98</t>
    </r>
    <r>
      <rPr>
        <sz val="14"/>
        <rFont val="方正仿宋_GBK"/>
        <charset val="134"/>
      </rPr>
      <t>户农户周边区域开展人居环境改善提升，重点实施粪污治理工程、微田园建设、院落提升、村组路建设等内容。</t>
    </r>
  </si>
  <si>
    <r>
      <rPr>
        <sz val="14"/>
        <rFont val="方正仿宋_GBK"/>
        <charset val="134"/>
      </rPr>
      <t>石马河村</t>
    </r>
    <r>
      <rPr>
        <sz val="14"/>
        <rFont val="Times New Roman"/>
        <charset val="0"/>
      </rPr>
      <t xml:space="preserve">
</t>
    </r>
    <r>
      <rPr>
        <sz val="14"/>
        <rFont val="方正仿宋_GBK"/>
        <charset val="134"/>
      </rPr>
      <t>（南北大道沿线段）</t>
    </r>
  </si>
  <si>
    <r>
      <rPr>
        <sz val="14"/>
        <rFont val="方正仿宋_GBK"/>
        <charset val="0"/>
      </rPr>
      <t>高滩镇</t>
    </r>
  </si>
  <si>
    <t>高滩镇人居环境改善项目（二期）</t>
  </si>
  <si>
    <t>5300001280814905</t>
  </si>
  <si>
    <r>
      <rPr>
        <sz val="14"/>
        <rFont val="方正仿宋_GBK"/>
        <charset val="134"/>
      </rPr>
      <t>对约</t>
    </r>
    <r>
      <rPr>
        <sz val="14"/>
        <rFont val="Times New Roman"/>
        <charset val="134"/>
      </rPr>
      <t>22</t>
    </r>
    <r>
      <rPr>
        <sz val="14"/>
        <rFont val="方正仿宋_GBK"/>
        <charset val="134"/>
      </rPr>
      <t>户农户周边区域开展人居环境改善提升，重点实施粪污治理工程、微田园建设、院落提升、村组路建设等内容。</t>
    </r>
  </si>
  <si>
    <r>
      <rPr>
        <sz val="14"/>
        <rFont val="方正仿宋_GBK"/>
        <charset val="134"/>
      </rPr>
      <t>对约</t>
    </r>
    <r>
      <rPr>
        <sz val="14"/>
        <rFont val="Times New Roman"/>
        <charset val="134"/>
      </rPr>
      <t>39</t>
    </r>
    <r>
      <rPr>
        <sz val="14"/>
        <rFont val="方正仿宋_GBK"/>
        <charset val="134"/>
      </rPr>
      <t>户农户周边区域开展人居环境改善提升，重点实施粪污治理工程、微田园建设、院落提升、村组路建设等内容。</t>
    </r>
  </si>
  <si>
    <r>
      <rPr>
        <sz val="14"/>
        <rFont val="方正仿宋_GBK"/>
        <charset val="134"/>
      </rPr>
      <t>对约</t>
    </r>
    <r>
      <rPr>
        <sz val="14"/>
        <rFont val="Times New Roman"/>
        <charset val="134"/>
      </rPr>
      <t>98</t>
    </r>
    <r>
      <rPr>
        <sz val="14"/>
        <rFont val="方正仿宋_GBK"/>
        <charset val="134"/>
      </rPr>
      <t>户农户周边区域开展人居环境改善提升，重点实施粪污治理工程、微田园建设、院落提升、村组路建设等内容。</t>
    </r>
  </si>
  <si>
    <r>
      <rPr>
        <sz val="14"/>
        <rFont val="方正仿宋_GBK"/>
        <charset val="134"/>
      </rPr>
      <t>城北镇</t>
    </r>
  </si>
  <si>
    <r>
      <rPr>
        <sz val="14"/>
        <rFont val="Times New Roman"/>
        <charset val="134"/>
      </rPr>
      <t>2025</t>
    </r>
    <r>
      <rPr>
        <sz val="14"/>
        <rFont val="方正仿宋_GBK"/>
        <charset val="134"/>
      </rPr>
      <t>年衔接资金城北镇金垭村蔬菜基地配套设施提质改造项目</t>
    </r>
  </si>
  <si>
    <t>5300001321162063</t>
  </si>
  <si>
    <r>
      <rPr>
        <sz val="14"/>
        <rFont val="方正仿宋_GBK"/>
        <charset val="134"/>
      </rPr>
      <t>城北镇人民政府</t>
    </r>
  </si>
  <si>
    <t>大堰村、金垭村</t>
  </si>
  <si>
    <r>
      <rPr>
        <sz val="14"/>
        <rFont val="方正仿宋_GBK"/>
        <charset val="134"/>
      </rPr>
      <t>在城北镇大堰村、金垭村实施蔬菜基地配套设施提质改造。</t>
    </r>
    <r>
      <rPr>
        <sz val="14"/>
        <rFont val="Times New Roman"/>
        <charset val="134"/>
      </rPr>
      <t>(</t>
    </r>
    <r>
      <rPr>
        <sz val="14"/>
        <rFont val="方正仿宋_GBK"/>
        <charset val="134"/>
      </rPr>
      <t>具体实施以设计为准</t>
    </r>
    <r>
      <rPr>
        <sz val="14"/>
        <rFont val="Times New Roman"/>
        <charset val="134"/>
      </rPr>
      <t>)</t>
    </r>
  </si>
  <si>
    <r>
      <rPr>
        <sz val="14"/>
        <color theme="1"/>
        <rFont val="方正仿宋_GBK"/>
        <charset val="134"/>
      </rPr>
      <t>带动产业发展</t>
    </r>
  </si>
  <si>
    <r>
      <rPr>
        <sz val="14"/>
        <rFont val="方正仿宋_GBK"/>
        <charset val="134"/>
      </rPr>
      <t>两河镇</t>
    </r>
  </si>
  <si>
    <r>
      <rPr>
        <sz val="14"/>
        <rFont val="Times New Roman"/>
        <charset val="0"/>
      </rPr>
      <t>2025</t>
    </r>
    <r>
      <rPr>
        <sz val="14"/>
        <rFont val="方正仿宋_GBK"/>
        <charset val="0"/>
      </rPr>
      <t>年衔接资金两河镇脐橙产业配套设施建设项目</t>
    </r>
  </si>
  <si>
    <t>5300001321167235</t>
  </si>
  <si>
    <r>
      <rPr>
        <sz val="14"/>
        <rFont val="方正仿宋_GBK"/>
        <charset val="134"/>
      </rPr>
      <t>两河镇人民政府</t>
    </r>
  </si>
  <si>
    <r>
      <rPr>
        <sz val="14"/>
        <color theme="1"/>
        <rFont val="方正仿宋_GBK"/>
        <charset val="134"/>
      </rPr>
      <t>合堂村</t>
    </r>
    <r>
      <rPr>
        <sz val="14"/>
        <color theme="1"/>
        <rFont val="方正仿宋_GBK"/>
        <charset val="0"/>
      </rPr>
      <t xml:space="preserve">
</t>
    </r>
    <r>
      <rPr>
        <sz val="14"/>
        <color theme="1"/>
        <rFont val="方正仿宋_GBK"/>
        <charset val="134"/>
      </rPr>
      <t>双河社区</t>
    </r>
  </si>
  <si>
    <r>
      <rPr>
        <sz val="14"/>
        <color theme="1"/>
        <rFont val="方正仿宋_GBK"/>
        <charset val="134"/>
      </rPr>
      <t>实施产业配套路提质改造工程（总长度约</t>
    </r>
    <r>
      <rPr>
        <sz val="14"/>
        <color theme="1"/>
        <rFont val="Times New Roman"/>
        <charset val="0"/>
      </rPr>
      <t>3.6</t>
    </r>
    <r>
      <rPr>
        <sz val="14"/>
        <color theme="1"/>
        <rFont val="方正仿宋_GBK"/>
        <charset val="134"/>
      </rPr>
      <t>公里，总补助金额不超过</t>
    </r>
    <r>
      <rPr>
        <sz val="14"/>
        <color theme="1"/>
        <rFont val="Times New Roman"/>
        <charset val="0"/>
      </rPr>
      <t>316</t>
    </r>
    <r>
      <rPr>
        <sz val="14"/>
        <color theme="1"/>
        <rFont val="方正仿宋_GBK"/>
        <charset val="134"/>
      </rPr>
      <t>万元，具体实施以设计为准）。</t>
    </r>
  </si>
  <si>
    <r>
      <rPr>
        <sz val="14"/>
        <color theme="1"/>
        <rFont val="方正仿宋_GBK"/>
        <charset val="134"/>
      </rPr>
      <t>改善群众种植生产条件，带动产业发展</t>
    </r>
  </si>
  <si>
    <r>
      <rPr>
        <sz val="14"/>
        <rFont val="Times New Roman"/>
        <charset val="0"/>
      </rPr>
      <t>2024</t>
    </r>
    <r>
      <rPr>
        <sz val="14"/>
        <rFont val="方正仿宋_GBK"/>
        <charset val="0"/>
      </rPr>
      <t>年衔接资金太和镇箩筐坝社区柑橘产业配套设施建设项目</t>
    </r>
  </si>
  <si>
    <t>5300001236731129</t>
  </si>
  <si>
    <r>
      <rPr>
        <sz val="14"/>
        <color theme="1"/>
        <rFont val="方正仿宋_GBK"/>
        <charset val="134"/>
      </rPr>
      <t>箩筐坝社区</t>
    </r>
  </si>
  <si>
    <r>
      <rPr>
        <sz val="14"/>
        <rFont val="方正仿宋_GBK"/>
        <charset val="134"/>
      </rPr>
      <t>新建产业配套路</t>
    </r>
    <r>
      <rPr>
        <sz val="14"/>
        <rFont val="Times New Roman"/>
        <charset val="0"/>
      </rPr>
      <t>2</t>
    </r>
    <r>
      <rPr>
        <sz val="14"/>
        <rFont val="方正仿宋_GBK"/>
        <charset val="134"/>
      </rPr>
      <t>公里（要求：</t>
    </r>
    <r>
      <rPr>
        <sz val="14"/>
        <rFont val="Times New Roman"/>
        <charset val="0"/>
      </rPr>
      <t>C30</t>
    </r>
    <r>
      <rPr>
        <sz val="14"/>
        <rFont val="方正仿宋_GBK"/>
        <charset val="134"/>
      </rPr>
      <t>砼、厚</t>
    </r>
    <r>
      <rPr>
        <sz val="14"/>
        <rFont val="Times New Roman"/>
        <charset val="0"/>
      </rPr>
      <t>0.2m</t>
    </r>
    <r>
      <rPr>
        <sz val="14"/>
        <rFont val="方正仿宋_GBK"/>
        <charset val="134"/>
      </rPr>
      <t>，具体实施以设计为准）</t>
    </r>
  </si>
  <si>
    <r>
      <rPr>
        <sz val="14"/>
        <color rgb="FF000000"/>
        <rFont val="方正仿宋_GBK"/>
        <charset val="134"/>
      </rPr>
      <t>为柑橘产业基地修建配套公路，改善周边农户居住条件</t>
    </r>
  </si>
  <si>
    <r>
      <rPr>
        <sz val="14"/>
        <rFont val="方正仿宋_GBK"/>
        <charset val="134"/>
      </rPr>
      <t>袁市镇</t>
    </r>
  </si>
  <si>
    <r>
      <rPr>
        <sz val="14"/>
        <rFont val="Times New Roman"/>
        <charset val="0"/>
      </rPr>
      <t>2024</t>
    </r>
    <r>
      <rPr>
        <sz val="14"/>
        <rFont val="方正仿宋_GBK"/>
        <charset val="0"/>
      </rPr>
      <t>年衔接资金袁市镇金堂村粮油产业配套设施建设项目</t>
    </r>
  </si>
  <si>
    <t>5300001226436349</t>
  </si>
  <si>
    <r>
      <rPr>
        <sz val="14"/>
        <rFont val="方正仿宋_GBK"/>
        <charset val="134"/>
      </rPr>
      <t>袁市镇人民政府</t>
    </r>
  </si>
  <si>
    <r>
      <rPr>
        <sz val="14"/>
        <rFont val="方正仿宋_GBK"/>
        <charset val="134"/>
      </rPr>
      <t>金堂村</t>
    </r>
  </si>
  <si>
    <r>
      <rPr>
        <sz val="14"/>
        <rFont val="方正仿宋_GBK"/>
        <charset val="134"/>
      </rPr>
      <t>新建产业配套路</t>
    </r>
    <r>
      <rPr>
        <sz val="14"/>
        <rFont val="Times New Roman"/>
        <charset val="0"/>
      </rPr>
      <t>2.3</t>
    </r>
    <r>
      <rPr>
        <sz val="14"/>
        <rFont val="方正仿宋_GBK"/>
        <charset val="134"/>
      </rPr>
      <t>公里（要求：</t>
    </r>
    <r>
      <rPr>
        <sz val="14"/>
        <rFont val="Times New Roman"/>
        <charset val="0"/>
      </rPr>
      <t>C30</t>
    </r>
    <r>
      <rPr>
        <sz val="14"/>
        <rFont val="方正仿宋_GBK"/>
        <charset val="134"/>
      </rPr>
      <t>砼、厚</t>
    </r>
    <r>
      <rPr>
        <sz val="14"/>
        <rFont val="Times New Roman"/>
        <charset val="0"/>
      </rPr>
      <t>0.2m</t>
    </r>
    <r>
      <rPr>
        <sz val="14"/>
        <rFont val="方正仿宋_GBK"/>
        <charset val="134"/>
      </rPr>
      <t>，具体实施以设计为准）</t>
    </r>
  </si>
  <si>
    <r>
      <rPr>
        <sz val="14"/>
        <color rgb="FF000000"/>
        <rFont val="方正仿宋_GBK"/>
        <charset val="134"/>
      </rPr>
      <t>解决群众生活生产出行问题，带动产业发展</t>
    </r>
  </si>
  <si>
    <r>
      <rPr>
        <sz val="14"/>
        <rFont val="Times New Roman"/>
        <charset val="134"/>
      </rPr>
      <t>2025</t>
    </r>
    <r>
      <rPr>
        <sz val="14"/>
        <rFont val="方正仿宋_GBK"/>
        <charset val="134"/>
      </rPr>
      <t>年衔接资金高竹新区桃李树栽植项目</t>
    </r>
  </si>
  <si>
    <t>5300001321171195</t>
  </si>
  <si>
    <t>高滩镇桂花村、子中社区、长渠村、石马河村、青童庵村</t>
  </si>
  <si>
    <r>
      <rPr>
        <sz val="14"/>
        <rFont val="方正仿宋_GBK"/>
        <charset val="134"/>
      </rPr>
      <t>高标准栽种桃李</t>
    </r>
    <r>
      <rPr>
        <sz val="14"/>
        <rFont val="Times New Roman"/>
        <charset val="0"/>
      </rPr>
      <t>10000</t>
    </r>
    <r>
      <rPr>
        <sz val="14"/>
        <rFont val="方正仿宋_GBK"/>
        <charset val="134"/>
      </rPr>
      <t>株（含苗木采购、运输、栽植等，总补助金额不超过</t>
    </r>
    <r>
      <rPr>
        <sz val="14"/>
        <rFont val="Times New Roman"/>
        <charset val="0"/>
      </rPr>
      <t>300</t>
    </r>
    <r>
      <rPr>
        <sz val="14"/>
        <rFont val="方正仿宋_GBK"/>
        <charset val="134"/>
      </rPr>
      <t>万元）</t>
    </r>
  </si>
  <si>
    <r>
      <rPr>
        <sz val="14"/>
        <rFont val="Times New Roman"/>
        <charset val="0"/>
      </rPr>
      <t>2023</t>
    </r>
    <r>
      <rPr>
        <sz val="14"/>
        <rFont val="方正仿宋_GBK"/>
        <charset val="0"/>
      </rPr>
      <t>年度衔接资金城南镇农旅融合园区配套建设项目</t>
    </r>
  </si>
  <si>
    <t>5300001236428575</t>
  </si>
  <si>
    <r>
      <rPr>
        <sz val="14"/>
        <rFont val="方正仿宋_GBK"/>
        <charset val="134"/>
      </rPr>
      <t>云顶村</t>
    </r>
    <r>
      <rPr>
        <sz val="14"/>
        <rFont val="Times New Roman"/>
        <charset val="0"/>
      </rPr>
      <t xml:space="preserve">
</t>
    </r>
    <r>
      <rPr>
        <sz val="14"/>
        <rFont val="方正仿宋_GBK"/>
        <charset val="134"/>
      </rPr>
      <t>后山村</t>
    </r>
  </si>
  <si>
    <r>
      <rPr>
        <sz val="14"/>
        <rFont val="方正仿宋_GBK"/>
        <charset val="134"/>
      </rPr>
      <t>云顶</t>
    </r>
    <r>
      <rPr>
        <sz val="14"/>
        <rFont val="Times New Roman"/>
        <charset val="0"/>
      </rPr>
      <t>9</t>
    </r>
    <r>
      <rPr>
        <sz val="14"/>
        <rFont val="方正仿宋_GBK"/>
        <charset val="134"/>
      </rPr>
      <t>组至后山村</t>
    </r>
    <r>
      <rPr>
        <sz val="14"/>
        <rFont val="Times New Roman"/>
        <charset val="0"/>
      </rPr>
      <t>1</t>
    </r>
    <r>
      <rPr>
        <sz val="14"/>
        <rFont val="方正仿宋_GBK"/>
        <charset val="134"/>
      </rPr>
      <t>组蜜蜂小镇新建</t>
    </r>
    <r>
      <rPr>
        <sz val="14"/>
        <rFont val="Times New Roman"/>
        <charset val="0"/>
      </rPr>
      <t>4.5</t>
    </r>
    <r>
      <rPr>
        <sz val="14"/>
        <rFont val="方正仿宋_GBK"/>
        <charset val="134"/>
      </rPr>
      <t>米宽连接路</t>
    </r>
    <r>
      <rPr>
        <sz val="14"/>
        <rFont val="Times New Roman"/>
        <charset val="0"/>
      </rPr>
      <t>3</t>
    </r>
    <r>
      <rPr>
        <sz val="14"/>
        <rFont val="方正仿宋_GBK"/>
        <charset val="134"/>
      </rPr>
      <t>公里（具体实施以设计为准）</t>
    </r>
  </si>
  <si>
    <r>
      <rPr>
        <sz val="14"/>
        <color theme="1"/>
        <rFont val="方正仿宋_GBK"/>
        <charset val="134"/>
      </rPr>
      <t>解决群众生产生活出行问题</t>
    </r>
  </si>
  <si>
    <r>
      <rPr>
        <sz val="14"/>
        <color theme="1"/>
        <rFont val="方正仿宋_GBK"/>
        <charset val="134"/>
      </rPr>
      <t>兴仁镇</t>
    </r>
  </si>
  <si>
    <r>
      <rPr>
        <sz val="14"/>
        <color theme="1"/>
        <rFont val="Times New Roman"/>
        <charset val="134"/>
      </rPr>
      <t>2025</t>
    </r>
    <r>
      <rPr>
        <sz val="14"/>
        <color theme="1"/>
        <rFont val="方正仿宋_GBK"/>
        <charset val="134"/>
      </rPr>
      <t>年邻水县丰隆铺国有林场种苗基地建设项目</t>
    </r>
  </si>
  <si>
    <t>5300001245618360</t>
  </si>
  <si>
    <r>
      <rPr>
        <sz val="14"/>
        <color theme="1"/>
        <rFont val="方正仿宋_GBK"/>
        <charset val="134"/>
      </rPr>
      <t>林草基地建设</t>
    </r>
  </si>
  <si>
    <r>
      <rPr>
        <sz val="14"/>
        <color theme="1"/>
        <rFont val="方正仿宋_GBK"/>
        <charset val="134"/>
      </rPr>
      <t>县林业局</t>
    </r>
  </si>
  <si>
    <r>
      <rPr>
        <sz val="14"/>
        <color theme="1"/>
        <rFont val="方正仿宋_GBK"/>
        <charset val="134"/>
      </rPr>
      <t>丰隆铺国有林场</t>
    </r>
  </si>
  <si>
    <r>
      <rPr>
        <sz val="14"/>
        <color indexed="8"/>
        <rFont val="方正仿宋_GBK"/>
        <charset val="134"/>
      </rPr>
      <t>新建林下仿野生种植淫羊藿</t>
    </r>
    <r>
      <rPr>
        <sz val="14"/>
        <color theme="1"/>
        <rFont val="Times New Roman"/>
        <charset val="134"/>
      </rPr>
      <t>400</t>
    </r>
    <r>
      <rPr>
        <sz val="14"/>
        <color indexed="8"/>
        <rFont val="方正仿宋_GBK"/>
        <charset val="134"/>
      </rPr>
      <t>亩；发展经济林</t>
    </r>
    <r>
      <rPr>
        <sz val="14"/>
        <color theme="1"/>
        <rFont val="Times New Roman"/>
        <charset val="134"/>
      </rPr>
      <t>100</t>
    </r>
    <r>
      <rPr>
        <sz val="14"/>
        <color indexed="8"/>
        <rFont val="方正仿宋_GBK"/>
        <charset val="134"/>
      </rPr>
      <t>亩。</t>
    </r>
  </si>
  <si>
    <r>
      <rPr>
        <sz val="14"/>
        <color theme="1"/>
        <rFont val="方正仿宋_GBK"/>
        <charset val="134"/>
      </rPr>
      <t>御临镇</t>
    </r>
  </si>
  <si>
    <r>
      <rPr>
        <sz val="14"/>
        <color theme="1"/>
        <rFont val="方正仿宋_GBK"/>
        <charset val="134"/>
      </rPr>
      <t>邻水县御临镇</t>
    </r>
    <r>
      <rPr>
        <sz val="14"/>
        <color theme="1"/>
        <rFont val="Times New Roman"/>
        <charset val="134"/>
      </rPr>
      <t>2025</t>
    </r>
    <r>
      <rPr>
        <sz val="14"/>
        <color theme="1"/>
        <rFont val="方正仿宋_GBK"/>
        <charset val="134"/>
      </rPr>
      <t>年中央财政以工代赈项目</t>
    </r>
  </si>
  <si>
    <t>5300001225680895</t>
  </si>
  <si>
    <r>
      <rPr>
        <sz val="14"/>
        <color theme="1"/>
        <rFont val="方正仿宋_GBK"/>
        <charset val="134"/>
      </rPr>
      <t>县发改局</t>
    </r>
  </si>
  <si>
    <r>
      <rPr>
        <sz val="14"/>
        <color theme="1"/>
        <rFont val="方正仿宋_GBK"/>
        <charset val="134"/>
      </rPr>
      <t>御临镇人民政府</t>
    </r>
  </si>
  <si>
    <r>
      <rPr>
        <sz val="14"/>
        <color theme="1"/>
        <rFont val="方正仿宋_GBK"/>
        <charset val="134"/>
      </rPr>
      <t>文武村</t>
    </r>
  </si>
  <si>
    <r>
      <rPr>
        <sz val="14"/>
        <color theme="1"/>
        <rFont val="方正仿宋_GBK"/>
        <charset val="134"/>
      </rPr>
      <t>新修中药材基地</t>
    </r>
    <r>
      <rPr>
        <sz val="14"/>
        <color theme="1"/>
        <rFont val="Times New Roman"/>
        <charset val="134"/>
      </rPr>
      <t>3.5</t>
    </r>
    <r>
      <rPr>
        <sz val="14"/>
        <color theme="1"/>
        <rFont val="方正仿宋_GBK"/>
        <charset val="134"/>
      </rPr>
      <t>米宽产业道路</t>
    </r>
    <r>
      <rPr>
        <sz val="14"/>
        <color theme="1"/>
        <rFont val="Times New Roman"/>
        <charset val="134"/>
      </rPr>
      <t>2.7</t>
    </r>
    <r>
      <rPr>
        <sz val="14"/>
        <color theme="1"/>
        <rFont val="方正仿宋_GBK"/>
        <charset val="134"/>
      </rPr>
      <t>公里，</t>
    </r>
    <r>
      <rPr>
        <sz val="14"/>
        <color theme="1"/>
        <rFont val="Times New Roman"/>
        <charset val="134"/>
      </rPr>
      <t>4.5</t>
    </r>
    <r>
      <rPr>
        <sz val="14"/>
        <color theme="1"/>
        <rFont val="方正仿宋_GBK"/>
        <charset val="134"/>
      </rPr>
      <t>米宽产业道路</t>
    </r>
    <r>
      <rPr>
        <sz val="14"/>
        <color theme="1"/>
        <rFont val="Times New Roman"/>
        <charset val="134"/>
      </rPr>
      <t>0.5</t>
    </r>
    <r>
      <rPr>
        <sz val="14"/>
        <color theme="1"/>
        <rFont val="方正仿宋_GBK"/>
        <charset val="134"/>
      </rPr>
      <t>公里；新建</t>
    </r>
    <r>
      <rPr>
        <sz val="14"/>
        <color theme="1"/>
        <rFont val="Times New Roman"/>
        <charset val="134"/>
      </rPr>
      <t>2</t>
    </r>
    <r>
      <rPr>
        <sz val="14"/>
        <color theme="1"/>
        <rFont val="方正仿宋_GBK"/>
        <charset val="134"/>
      </rPr>
      <t>米宽生产便道</t>
    </r>
    <r>
      <rPr>
        <sz val="14"/>
        <color theme="1"/>
        <rFont val="Times New Roman"/>
        <charset val="134"/>
      </rPr>
      <t>2.2</t>
    </r>
    <r>
      <rPr>
        <sz val="14"/>
        <color theme="1"/>
        <rFont val="方正仿宋_GBK"/>
        <charset val="134"/>
      </rPr>
      <t>公里，</t>
    </r>
    <r>
      <rPr>
        <sz val="14"/>
        <color theme="1"/>
        <rFont val="Times New Roman"/>
        <charset val="134"/>
      </rPr>
      <t>1</t>
    </r>
    <r>
      <rPr>
        <sz val="14"/>
        <color theme="1"/>
        <rFont val="方正仿宋_GBK"/>
        <charset val="134"/>
      </rPr>
      <t>米宽生产便道</t>
    </r>
    <r>
      <rPr>
        <sz val="14"/>
        <color theme="1"/>
        <rFont val="Times New Roman"/>
        <charset val="134"/>
      </rPr>
      <t>0.3</t>
    </r>
    <r>
      <rPr>
        <sz val="14"/>
        <color theme="1"/>
        <rFont val="方正仿宋_GBK"/>
        <charset val="134"/>
      </rPr>
      <t>公里；简易灌站</t>
    </r>
    <r>
      <rPr>
        <sz val="14"/>
        <color theme="1"/>
        <rFont val="Times New Roman"/>
        <charset val="134"/>
      </rPr>
      <t>1</t>
    </r>
    <r>
      <rPr>
        <sz val="14"/>
        <color theme="1"/>
        <rFont val="方正仿宋_GBK"/>
        <charset val="134"/>
      </rPr>
      <t>座，排水渠</t>
    </r>
    <r>
      <rPr>
        <sz val="14"/>
        <color theme="1"/>
        <rFont val="Times New Roman"/>
        <charset val="134"/>
      </rPr>
      <t>0.4</t>
    </r>
    <r>
      <rPr>
        <sz val="14"/>
        <color theme="1"/>
        <rFont val="方正仿宋_GBK"/>
        <charset val="134"/>
      </rPr>
      <t>千米，灌溉管网</t>
    </r>
    <r>
      <rPr>
        <sz val="14"/>
        <color theme="1"/>
        <rFont val="Times New Roman"/>
        <charset val="134"/>
      </rPr>
      <t>5702</t>
    </r>
    <r>
      <rPr>
        <sz val="14"/>
        <color theme="1"/>
        <rFont val="方正仿宋_GBK"/>
        <charset val="134"/>
      </rPr>
      <t>米；土地平整</t>
    </r>
    <r>
      <rPr>
        <sz val="14"/>
        <color theme="1"/>
        <rFont val="Times New Roman"/>
        <charset val="134"/>
      </rPr>
      <t>89.8</t>
    </r>
    <r>
      <rPr>
        <sz val="14"/>
        <color theme="1"/>
        <rFont val="方正仿宋_GBK"/>
        <charset val="134"/>
      </rPr>
      <t>亩；新建</t>
    </r>
    <r>
      <rPr>
        <sz val="14"/>
        <color theme="1"/>
        <rFont val="Times New Roman"/>
        <charset val="134"/>
      </rPr>
      <t>200</t>
    </r>
    <r>
      <rPr>
        <sz val="14"/>
        <color theme="1"/>
        <rFont val="方正仿宋_GBK"/>
        <charset val="134"/>
      </rPr>
      <t>立方米蓄水池</t>
    </r>
    <r>
      <rPr>
        <sz val="14"/>
        <color theme="1"/>
        <rFont val="Times New Roman"/>
        <charset val="134"/>
      </rPr>
      <t>2</t>
    </r>
    <r>
      <rPr>
        <sz val="14"/>
        <color theme="1"/>
        <rFont val="方正仿宋_GBK"/>
        <charset val="134"/>
      </rPr>
      <t>口，</t>
    </r>
    <r>
      <rPr>
        <sz val="14"/>
        <color theme="1"/>
        <rFont val="Times New Roman"/>
        <charset val="134"/>
      </rPr>
      <t>300</t>
    </r>
    <r>
      <rPr>
        <sz val="14"/>
        <color theme="1"/>
        <rFont val="方正仿宋_GBK"/>
        <charset val="134"/>
      </rPr>
      <t>立方米蓄水池</t>
    </r>
    <r>
      <rPr>
        <sz val="14"/>
        <color theme="1"/>
        <rFont val="Times New Roman"/>
        <charset val="134"/>
      </rPr>
      <t>1</t>
    </r>
    <r>
      <rPr>
        <sz val="14"/>
        <color theme="1"/>
        <rFont val="方正仿宋_GBK"/>
        <charset val="134"/>
      </rPr>
      <t>口；新建烘干房</t>
    </r>
    <r>
      <rPr>
        <sz val="14"/>
        <color theme="1"/>
        <rFont val="Times New Roman"/>
        <charset val="134"/>
      </rPr>
      <t>65</t>
    </r>
    <r>
      <rPr>
        <sz val="14"/>
        <color theme="1"/>
        <rFont val="方正仿宋_GBK"/>
        <charset val="134"/>
      </rPr>
      <t>平方米；新建</t>
    </r>
    <r>
      <rPr>
        <sz val="14"/>
        <color theme="1"/>
        <rFont val="Times New Roman"/>
        <charset val="134"/>
      </rPr>
      <t>1.5</t>
    </r>
    <r>
      <rPr>
        <sz val="14"/>
        <color theme="1"/>
        <rFont val="方正仿宋_GBK"/>
        <charset val="134"/>
      </rPr>
      <t>米高挡墙</t>
    </r>
    <r>
      <rPr>
        <sz val="14"/>
        <color theme="1"/>
        <rFont val="Times New Roman"/>
        <charset val="134"/>
      </rPr>
      <t>782</t>
    </r>
    <r>
      <rPr>
        <sz val="14"/>
        <color theme="1"/>
        <rFont val="方正仿宋_GBK"/>
        <charset val="134"/>
      </rPr>
      <t>米。</t>
    </r>
  </si>
  <si>
    <r>
      <rPr>
        <sz val="14"/>
        <color theme="1"/>
        <rFont val="方正仿宋_GBK"/>
        <charset val="134"/>
      </rPr>
      <t>该项目预计带动</t>
    </r>
    <r>
      <rPr>
        <sz val="14"/>
        <color theme="1"/>
        <rFont val="Times New Roman"/>
        <charset val="134"/>
      </rPr>
      <t>131</t>
    </r>
    <r>
      <rPr>
        <sz val="14"/>
        <color theme="1"/>
        <rFont val="方正仿宋_GBK"/>
        <charset val="134"/>
      </rPr>
      <t>人务工</t>
    </r>
  </si>
  <si>
    <r>
      <rPr>
        <sz val="14"/>
        <color theme="1"/>
        <rFont val="方正仿宋_GBK"/>
        <charset val="134"/>
      </rPr>
      <t>高滩镇</t>
    </r>
  </si>
  <si>
    <r>
      <rPr>
        <sz val="14"/>
        <color theme="1"/>
        <rFont val="Times New Roman"/>
        <charset val="134"/>
      </rPr>
      <t>2025</t>
    </r>
    <r>
      <rPr>
        <sz val="14"/>
        <color theme="1"/>
        <rFont val="方正仿宋_GBK"/>
        <charset val="134"/>
      </rPr>
      <t>年市级衔接资金川渝高竹新区乡村振兴示范片建设</t>
    </r>
  </si>
  <si>
    <t>5300001267062721</t>
  </si>
  <si>
    <r>
      <rPr>
        <sz val="14"/>
        <rFont val="方正仿宋_GBK"/>
        <charset val="134"/>
      </rPr>
      <t>农村基础设施（含产业配套基础设施）</t>
    </r>
  </si>
  <si>
    <r>
      <rPr>
        <sz val="14"/>
        <rFont val="方正仿宋_GBK"/>
        <charset val="134"/>
      </rPr>
      <t>农村道路建设（通村路、通户路、小型桥梁等）</t>
    </r>
  </si>
  <si>
    <r>
      <rPr>
        <sz val="14"/>
        <color theme="1"/>
        <rFont val="方正仿宋_GBK"/>
        <charset val="134"/>
      </rPr>
      <t>川渝高竹新区</t>
    </r>
  </si>
  <si>
    <r>
      <rPr>
        <sz val="14"/>
        <color theme="1"/>
        <rFont val="方正仿宋_GBK"/>
        <charset val="134"/>
      </rPr>
      <t>完成配套旅游道路建设</t>
    </r>
    <r>
      <rPr>
        <sz val="14"/>
        <color theme="1"/>
        <rFont val="Times New Roman"/>
        <charset val="134"/>
      </rPr>
      <t>9</t>
    </r>
    <r>
      <rPr>
        <sz val="14"/>
        <color theme="1"/>
        <rFont val="方正仿宋_GBK"/>
        <charset val="134"/>
      </rPr>
      <t>公里</t>
    </r>
  </si>
  <si>
    <r>
      <rPr>
        <sz val="14"/>
        <color theme="1"/>
        <rFont val="方正仿宋_GBK"/>
        <charset val="134"/>
      </rPr>
      <t>带动群众生产</t>
    </r>
  </si>
  <si>
    <r>
      <rPr>
        <sz val="14"/>
        <rFont val="Times New Roman"/>
        <charset val="0"/>
      </rPr>
      <t>2025</t>
    </r>
    <r>
      <rPr>
        <sz val="14"/>
        <rFont val="方正仿宋_GBK"/>
        <charset val="0"/>
      </rPr>
      <t>年衔接资金帮扶产业巩固提升建设项目（第二批）</t>
    </r>
  </si>
  <si>
    <t>5300001267066732</t>
  </si>
  <si>
    <r>
      <rPr>
        <sz val="14"/>
        <color theme="1"/>
        <rFont val="方正仿宋_GBK"/>
        <charset val="134"/>
      </rPr>
      <t>县农业农村局</t>
    </r>
  </si>
  <si>
    <r>
      <rPr>
        <sz val="14"/>
        <color theme="1"/>
        <rFont val="方正仿宋_GBK"/>
        <charset val="134"/>
      </rPr>
      <t>各镇人民政府</t>
    </r>
  </si>
  <si>
    <r>
      <rPr>
        <sz val="14"/>
        <color theme="1"/>
        <rFont val="方正仿宋_GBK"/>
        <charset val="134"/>
      </rPr>
      <t>邻水县</t>
    </r>
  </si>
  <si>
    <r>
      <rPr>
        <sz val="14"/>
        <color theme="1"/>
        <rFont val="方正仿宋_GBK"/>
        <charset val="134"/>
      </rPr>
      <t>在县域选取点位对</t>
    </r>
    <r>
      <rPr>
        <sz val="14"/>
        <color theme="1"/>
        <rFont val="Times New Roman"/>
        <charset val="134"/>
      </rPr>
      <t>“</t>
    </r>
    <r>
      <rPr>
        <sz val="14"/>
        <color theme="1"/>
        <rFont val="方正仿宋_GBK"/>
        <charset val="134"/>
      </rPr>
      <t>四个一批</t>
    </r>
    <r>
      <rPr>
        <sz val="14"/>
        <color theme="1"/>
        <rFont val="Times New Roman"/>
        <charset val="134"/>
      </rPr>
      <t>”</t>
    </r>
    <r>
      <rPr>
        <sz val="14"/>
        <color theme="1"/>
        <rFont val="方正仿宋_GBK"/>
        <charset val="134"/>
      </rPr>
      <t>帮扶产业开展巩固提升建设（具体实施以下达计划为准）</t>
    </r>
  </si>
  <si>
    <r>
      <rPr>
        <sz val="14"/>
        <color theme="1"/>
        <rFont val="方正仿宋_GBK"/>
        <charset val="134"/>
      </rPr>
      <t>带动群众务工，增加集体收入</t>
    </r>
  </si>
  <si>
    <r>
      <rPr>
        <sz val="14"/>
        <rFont val="方正仿宋_GBK"/>
        <charset val="134"/>
      </rPr>
      <t>丰禾镇</t>
    </r>
  </si>
  <si>
    <r>
      <rPr>
        <sz val="14"/>
        <rFont val="Times New Roman"/>
        <charset val="0"/>
      </rPr>
      <t>2025</t>
    </r>
    <r>
      <rPr>
        <sz val="14"/>
        <rFont val="方正仿宋_GBK"/>
        <charset val="0"/>
      </rPr>
      <t>年衔接资金丰禾镇石树村粮油产业配套建设项目</t>
    </r>
  </si>
  <si>
    <t>5300001278895019</t>
  </si>
  <si>
    <r>
      <rPr>
        <sz val="14"/>
        <color theme="1"/>
        <rFont val="方正仿宋_GBK"/>
        <charset val="134"/>
      </rPr>
      <t>丰禾镇人民政府</t>
    </r>
  </si>
  <si>
    <r>
      <rPr>
        <sz val="14"/>
        <color theme="1"/>
        <rFont val="方正仿宋_GBK"/>
        <charset val="134"/>
      </rPr>
      <t>石树村</t>
    </r>
  </si>
  <si>
    <r>
      <rPr>
        <sz val="14"/>
        <color theme="1"/>
        <rFont val="方正仿宋_GBK"/>
        <charset val="134"/>
      </rPr>
      <t>粮油产业配套建设项目（总补助资金不超过</t>
    </r>
    <r>
      <rPr>
        <sz val="14"/>
        <color theme="1"/>
        <rFont val="Times New Roman"/>
        <charset val="134"/>
      </rPr>
      <t>50</t>
    </r>
    <r>
      <rPr>
        <sz val="14"/>
        <color theme="1"/>
        <rFont val="方正仿宋_GBK"/>
        <charset val="134"/>
      </rPr>
      <t>万元，具体建设规模及建设标准以实施方案为准）</t>
    </r>
  </si>
  <si>
    <r>
      <rPr>
        <sz val="14"/>
        <color theme="1"/>
        <rFont val="方正仿宋_GBK"/>
        <charset val="134"/>
      </rPr>
      <t>发展粮油产业建设，带动群众务工，增加脱贫户收入</t>
    </r>
  </si>
  <si>
    <r>
      <rPr>
        <sz val="14"/>
        <rFont val="Times New Roman"/>
        <charset val="0"/>
      </rPr>
      <t>2025</t>
    </r>
    <r>
      <rPr>
        <sz val="14"/>
        <rFont val="方正仿宋_GBK"/>
        <charset val="0"/>
      </rPr>
      <t>年衔接资金城南镇高坪村粮经复合产业配套设施建设项目</t>
    </r>
  </si>
  <si>
    <t>5300001278900381</t>
  </si>
  <si>
    <r>
      <rPr>
        <sz val="14"/>
        <color theme="1"/>
        <rFont val="方正仿宋_GBK"/>
        <charset val="134"/>
      </rPr>
      <t>城南镇人民政府</t>
    </r>
  </si>
  <si>
    <r>
      <rPr>
        <sz val="14"/>
        <color theme="1"/>
        <rFont val="方正仿宋_GBK"/>
        <charset val="134"/>
      </rPr>
      <t>高坪村</t>
    </r>
  </si>
  <si>
    <r>
      <rPr>
        <sz val="14"/>
        <color theme="1"/>
        <rFont val="方正仿宋_GBK"/>
        <charset val="134"/>
      </rPr>
      <t>粮经复合产业配套设施建设项目（具体实施以设计为准）</t>
    </r>
  </si>
  <si>
    <r>
      <rPr>
        <sz val="14"/>
        <color theme="1"/>
        <rFont val="方正仿宋_GBK"/>
        <charset val="134"/>
      </rPr>
      <t>发展粮经复合产业，带动群众务工，增加集体收入</t>
    </r>
  </si>
  <si>
    <r>
      <rPr>
        <sz val="14"/>
        <rFont val="Times New Roman"/>
        <charset val="0"/>
      </rPr>
      <t>2025</t>
    </r>
    <r>
      <rPr>
        <sz val="14"/>
        <rFont val="方正仿宋_GBK"/>
        <charset val="134"/>
      </rPr>
      <t>年衔接资金产业管护项目</t>
    </r>
  </si>
  <si>
    <t>5300001278914596</t>
  </si>
  <si>
    <r>
      <rPr>
        <sz val="14"/>
        <color theme="1"/>
        <rFont val="方正仿宋_GBK"/>
        <charset val="134"/>
      </rPr>
      <t>县域内实施产业项目管护（具体涉及镇以下达计划为准）</t>
    </r>
  </si>
  <si>
    <r>
      <rPr>
        <sz val="14"/>
        <color theme="1"/>
        <rFont val="方正仿宋_GBK"/>
        <charset val="134"/>
      </rPr>
      <t>便于产业发展，带动脱贫户就近务工。</t>
    </r>
  </si>
  <si>
    <r>
      <rPr>
        <sz val="14"/>
        <rFont val="Times New Roman"/>
        <charset val="134"/>
      </rPr>
      <t>2025</t>
    </r>
    <r>
      <rPr>
        <sz val="14"/>
        <rFont val="方正仿宋_GBK"/>
        <charset val="134"/>
      </rPr>
      <t>年衔接资金宜居宜业和美乡村产业提升建设项目（第二批）</t>
    </r>
  </si>
  <si>
    <t>5300001278915053</t>
  </si>
  <si>
    <r>
      <rPr>
        <sz val="14"/>
        <color theme="1"/>
        <rFont val="方正仿宋_GBK"/>
        <charset val="134"/>
      </rPr>
      <t>休闲农业与乡村旅游</t>
    </r>
  </si>
  <si>
    <r>
      <rPr>
        <sz val="14"/>
        <rFont val="方正仿宋_GBK"/>
        <charset val="134"/>
      </rPr>
      <t>对县域选取点位开展高质量庭院经济建设。（具体实施以设计为准）</t>
    </r>
  </si>
  <si>
    <r>
      <rPr>
        <sz val="14"/>
        <color theme="1"/>
        <rFont val="Times New Roman"/>
        <charset val="134"/>
      </rPr>
      <t>2025</t>
    </r>
    <r>
      <rPr>
        <sz val="14"/>
        <color theme="1"/>
        <rFont val="方正仿宋_GBK"/>
        <charset val="134"/>
      </rPr>
      <t>年衔接资金邻水县脱贫人口稳岗就业补贴</t>
    </r>
  </si>
  <si>
    <t>5300001281090121</t>
  </si>
  <si>
    <r>
      <rPr>
        <sz val="14"/>
        <color theme="1"/>
        <rFont val="方正仿宋_GBK"/>
        <charset val="134"/>
      </rPr>
      <t>就业项目</t>
    </r>
  </si>
  <si>
    <r>
      <rPr>
        <sz val="14"/>
        <color theme="1"/>
        <rFont val="方正仿宋_GBK"/>
        <charset val="134"/>
      </rPr>
      <t>对县外稳定务工就业单次连续</t>
    </r>
    <r>
      <rPr>
        <sz val="14"/>
        <color theme="1"/>
        <rFont val="Times New Roman"/>
        <charset val="134"/>
      </rPr>
      <t>3</t>
    </r>
    <r>
      <rPr>
        <sz val="14"/>
        <color theme="1"/>
        <rFont val="方正仿宋_GBK"/>
        <charset val="134"/>
      </rPr>
      <t>个月及以上</t>
    </r>
    <r>
      <rPr>
        <sz val="14"/>
        <color theme="1"/>
        <rFont val="Times New Roman"/>
        <charset val="134"/>
      </rPr>
      <t>6</t>
    </r>
    <r>
      <rPr>
        <sz val="14"/>
        <color theme="1"/>
        <rFont val="方正仿宋_GBK"/>
        <charset val="134"/>
      </rPr>
      <t>个月以下且</t>
    </r>
    <r>
      <rPr>
        <sz val="14"/>
        <color theme="1"/>
        <rFont val="Times New Roman"/>
        <charset val="134"/>
      </rPr>
      <t xml:space="preserve"> </t>
    </r>
    <r>
      <rPr>
        <sz val="14"/>
        <color theme="1"/>
        <rFont val="方正仿宋_GBK"/>
        <charset val="134"/>
      </rPr>
      <t>联系方式稳定的脱贫人口，给予</t>
    </r>
    <r>
      <rPr>
        <sz val="14"/>
        <color theme="1"/>
        <rFont val="Times New Roman"/>
        <charset val="134"/>
      </rPr>
      <t>500</t>
    </r>
    <r>
      <rPr>
        <sz val="14"/>
        <color theme="1"/>
        <rFont val="方正仿宋_GBK"/>
        <charset val="134"/>
      </rPr>
      <t>元一次性稳岗就业补助；</t>
    </r>
    <r>
      <rPr>
        <sz val="14"/>
        <color theme="1"/>
        <rFont val="Times New Roman"/>
        <charset val="134"/>
      </rPr>
      <t xml:space="preserve"> </t>
    </r>
    <r>
      <rPr>
        <sz val="14"/>
        <color theme="1"/>
        <rFont val="方正仿宋_GBK"/>
        <charset val="134"/>
      </rPr>
      <t>稳定务工就业连续</t>
    </r>
    <r>
      <rPr>
        <sz val="14"/>
        <color theme="1"/>
        <rFont val="Times New Roman"/>
        <charset val="134"/>
      </rPr>
      <t>6</t>
    </r>
    <r>
      <rPr>
        <sz val="14"/>
        <color theme="1"/>
        <rFont val="方正仿宋_GBK"/>
        <charset val="134"/>
      </rPr>
      <t>个月及以上且联系方式稳定的脱贫人口，</t>
    </r>
    <r>
      <rPr>
        <sz val="14"/>
        <color theme="1"/>
        <rFont val="Times New Roman"/>
        <charset val="134"/>
      </rPr>
      <t xml:space="preserve"> </t>
    </r>
    <r>
      <rPr>
        <sz val="14"/>
        <color theme="1"/>
        <rFont val="方正仿宋_GBK"/>
        <charset val="134"/>
      </rPr>
      <t>给予</t>
    </r>
    <r>
      <rPr>
        <sz val="14"/>
        <color theme="1"/>
        <rFont val="Times New Roman"/>
        <charset val="134"/>
      </rPr>
      <t>1000</t>
    </r>
    <r>
      <rPr>
        <sz val="14"/>
        <color theme="1"/>
        <rFont val="方正仿宋_GBK"/>
        <charset val="134"/>
      </rPr>
      <t>元一次性稳岗就业补助</t>
    </r>
  </si>
  <si>
    <r>
      <rPr>
        <sz val="14"/>
        <color theme="1"/>
        <rFont val="方正仿宋_GBK"/>
        <charset val="134"/>
      </rPr>
      <t>稳岗就业，带动周边群众发展，助力脱贫人口增收</t>
    </r>
  </si>
  <si>
    <r>
      <rPr>
        <sz val="14"/>
        <color theme="1"/>
        <rFont val="Times New Roman"/>
        <charset val="134"/>
      </rPr>
      <t>2025</t>
    </r>
    <r>
      <rPr>
        <sz val="14"/>
        <color theme="1"/>
        <rFont val="方正仿宋_GBK"/>
        <charset val="134"/>
      </rPr>
      <t>年衔接资金邻水县牟家镇龙须村余家梁子至唐家岩幸福美丽乡村路改建工程</t>
    </r>
  </si>
  <si>
    <t>5300001259920955</t>
  </si>
  <si>
    <r>
      <rPr>
        <sz val="14"/>
        <color theme="1"/>
        <rFont val="方正仿宋_GBK"/>
        <charset val="134"/>
      </rPr>
      <t>产业路、资源路、旅游路建设</t>
    </r>
  </si>
  <si>
    <r>
      <rPr>
        <sz val="14"/>
        <color theme="1"/>
        <rFont val="方正仿宋_GBK"/>
        <charset val="134"/>
      </rPr>
      <t>邻水县交通运输局</t>
    </r>
  </si>
  <si>
    <r>
      <rPr>
        <sz val="14"/>
        <color theme="1"/>
        <rFont val="方正仿宋_GBK"/>
        <charset val="134"/>
      </rPr>
      <t>新改建道路</t>
    </r>
    <r>
      <rPr>
        <sz val="14"/>
        <color theme="1"/>
        <rFont val="Times New Roman"/>
        <charset val="134"/>
      </rPr>
      <t>5.5</t>
    </r>
    <r>
      <rPr>
        <sz val="14"/>
        <color theme="1"/>
        <rFont val="方正仿宋_GBK"/>
        <charset val="134"/>
      </rPr>
      <t>公里</t>
    </r>
  </si>
  <si>
    <r>
      <rPr>
        <sz val="14"/>
        <color theme="1"/>
        <rFont val="方正仿宋_GBK"/>
        <charset val="134"/>
      </rPr>
      <t>带动周边群众发展</t>
    </r>
  </si>
  <si>
    <r>
      <rPr>
        <sz val="14"/>
        <color theme="1"/>
        <rFont val="Times New Roman"/>
        <charset val="134"/>
      </rPr>
      <t>2025</t>
    </r>
    <r>
      <rPr>
        <sz val="14"/>
        <color theme="1"/>
        <rFont val="方正仿宋_GBK"/>
        <charset val="134"/>
      </rPr>
      <t>年衔接资金邻水县</t>
    </r>
    <r>
      <rPr>
        <sz val="14"/>
        <color theme="1"/>
        <rFont val="Times New Roman"/>
        <charset val="134"/>
      </rPr>
      <t>X115-CT13</t>
    </r>
    <r>
      <rPr>
        <sz val="14"/>
        <color theme="1"/>
        <rFont val="方正仿宋_GBK"/>
        <charset val="134"/>
      </rPr>
      <t>黎家镇药王顶村至金竹坪村幸福美丽乡村路改建工程</t>
    </r>
  </si>
  <si>
    <t>5300001259923627</t>
  </si>
  <si>
    <r>
      <rPr>
        <sz val="14"/>
        <color theme="1"/>
        <rFont val="方正仿宋_GBK"/>
        <charset val="134"/>
      </rPr>
      <t>新改建道路</t>
    </r>
    <r>
      <rPr>
        <sz val="14"/>
        <color theme="1"/>
        <rFont val="Times New Roman"/>
        <charset val="134"/>
      </rPr>
      <t>6.8</t>
    </r>
    <r>
      <rPr>
        <sz val="14"/>
        <color theme="1"/>
        <rFont val="方正仿宋_GBK"/>
        <charset val="134"/>
      </rPr>
      <t>公里</t>
    </r>
  </si>
  <si>
    <r>
      <rPr>
        <sz val="14"/>
        <color theme="1"/>
        <rFont val="Times New Roman"/>
        <charset val="134"/>
      </rPr>
      <t>2025</t>
    </r>
    <r>
      <rPr>
        <sz val="14"/>
        <color theme="1"/>
        <rFont val="方正仿宋_GBK"/>
        <charset val="134"/>
      </rPr>
      <t>年衔接资金邻水县</t>
    </r>
    <r>
      <rPr>
        <sz val="14"/>
        <color theme="1"/>
        <rFont val="Times New Roman"/>
        <charset val="134"/>
      </rPr>
      <t>X118</t>
    </r>
    <r>
      <rPr>
        <sz val="14"/>
        <color theme="1"/>
        <rFont val="方正仿宋_GBK"/>
        <charset val="134"/>
      </rPr>
      <t>双黎路（凤凰湾至马桑湾）段幸福美丽乡村路改建工程</t>
    </r>
  </si>
  <si>
    <t>5300001259925469</t>
  </si>
  <si>
    <r>
      <rPr>
        <sz val="14"/>
        <color theme="1"/>
        <rFont val="方正仿宋_GBK"/>
        <charset val="134"/>
      </rPr>
      <t>新改建道路</t>
    </r>
    <r>
      <rPr>
        <sz val="14"/>
        <color theme="1"/>
        <rFont val="Times New Roman"/>
        <charset val="134"/>
      </rPr>
      <t>6.5</t>
    </r>
    <r>
      <rPr>
        <sz val="14"/>
        <color theme="1"/>
        <rFont val="方正仿宋_GBK"/>
        <charset val="134"/>
      </rPr>
      <t>公里</t>
    </r>
  </si>
  <si>
    <r>
      <rPr>
        <sz val="14"/>
        <color theme="1"/>
        <rFont val="Times New Roman"/>
        <charset val="134"/>
      </rPr>
      <t>2025</t>
    </r>
    <r>
      <rPr>
        <sz val="14"/>
        <color theme="1"/>
        <rFont val="方正仿宋_GBK"/>
        <charset val="134"/>
      </rPr>
      <t>年衔接资金邻水县</t>
    </r>
    <r>
      <rPr>
        <sz val="14"/>
        <color theme="1"/>
        <rFont val="Times New Roman"/>
        <charset val="134"/>
      </rPr>
      <t>X123</t>
    </r>
    <r>
      <rPr>
        <sz val="14"/>
        <color theme="1"/>
        <rFont val="方正仿宋_GBK"/>
        <charset val="134"/>
      </rPr>
      <t>石永镇石稻场社区至石滓镇柳塘社区改建工程</t>
    </r>
  </si>
  <si>
    <t>5300001259926801</t>
  </si>
  <si>
    <r>
      <rPr>
        <sz val="14"/>
        <color theme="1"/>
        <rFont val="方正仿宋_GBK"/>
        <charset val="134"/>
      </rPr>
      <t>改建道路</t>
    </r>
    <r>
      <rPr>
        <sz val="14"/>
        <color theme="1"/>
        <rFont val="Times New Roman"/>
        <charset val="134"/>
      </rPr>
      <t>7.5</t>
    </r>
    <r>
      <rPr>
        <sz val="14"/>
        <color theme="1"/>
        <rFont val="方正仿宋_GBK"/>
        <charset val="134"/>
      </rPr>
      <t>公里</t>
    </r>
  </si>
  <si>
    <r>
      <rPr>
        <sz val="14"/>
        <color theme="1"/>
        <rFont val="Times New Roman"/>
        <charset val="134"/>
      </rPr>
      <t>2025</t>
    </r>
    <r>
      <rPr>
        <sz val="14"/>
        <color theme="1"/>
        <rFont val="方正仿宋_GBK"/>
        <charset val="134"/>
      </rPr>
      <t>年衔接资金邻水县城至华蓥山旅游公路环境整治工程</t>
    </r>
  </si>
  <si>
    <t>5300001259951672</t>
  </si>
  <si>
    <r>
      <rPr>
        <sz val="14"/>
        <color theme="1"/>
        <rFont val="方正仿宋_GBK"/>
        <charset val="134"/>
      </rPr>
      <t>对道路进行环境整治，新、改建驿站一个</t>
    </r>
  </si>
  <si>
    <r>
      <rPr>
        <sz val="14"/>
        <rFont val="方正仿宋_GBK"/>
        <charset val="134"/>
      </rPr>
      <t>邻水县各镇</t>
    </r>
  </si>
  <si>
    <r>
      <rPr>
        <sz val="14"/>
        <color theme="1"/>
        <rFont val="Times New Roman"/>
        <charset val="134"/>
      </rPr>
      <t>2025</t>
    </r>
    <r>
      <rPr>
        <sz val="14"/>
        <color theme="1"/>
        <rFont val="方正仿宋_GBK"/>
        <charset val="134"/>
      </rPr>
      <t>年衔接资金邻水县桥梁安全提升工程</t>
    </r>
  </si>
  <si>
    <t>5300001259953221</t>
  </si>
  <si>
    <r>
      <rPr>
        <sz val="14"/>
        <color theme="1"/>
        <rFont val="方正仿宋_GBK"/>
        <charset val="134"/>
      </rPr>
      <t>对农村公路病危桥进行安全提升</t>
    </r>
  </si>
  <si>
    <r>
      <rPr>
        <sz val="14"/>
        <color theme="1"/>
        <rFont val="Times New Roman"/>
        <charset val="134"/>
      </rPr>
      <t>2025</t>
    </r>
    <r>
      <rPr>
        <sz val="14"/>
        <color theme="1"/>
        <rFont val="方正仿宋_GBK"/>
        <charset val="134"/>
      </rPr>
      <t>年衔接资金邻水县公路安全提升工程</t>
    </r>
  </si>
  <si>
    <t>5300001259954119</t>
  </si>
  <si>
    <r>
      <rPr>
        <sz val="14"/>
        <color theme="1"/>
        <rFont val="方正仿宋_GBK"/>
        <charset val="134"/>
      </rPr>
      <t>恢复路基滑坡，路面提质，完善附属设施</t>
    </r>
  </si>
  <si>
    <r>
      <rPr>
        <sz val="14"/>
        <rFont val="方正仿宋_GBK"/>
        <charset val="134"/>
      </rPr>
      <t>兴仁镇、王家镇</t>
    </r>
  </si>
  <si>
    <r>
      <rPr>
        <sz val="14"/>
        <color theme="1"/>
        <rFont val="Times New Roman"/>
        <charset val="134"/>
      </rPr>
      <t>2025</t>
    </r>
    <r>
      <rPr>
        <sz val="14"/>
        <color theme="1"/>
        <rFont val="方正仿宋_GBK"/>
        <charset val="134"/>
      </rPr>
      <t>年衔接资金邻水县</t>
    </r>
    <r>
      <rPr>
        <sz val="14"/>
        <color theme="1"/>
        <rFont val="Times New Roman"/>
        <charset val="134"/>
      </rPr>
      <t>X130</t>
    </r>
    <r>
      <rPr>
        <sz val="14"/>
        <color theme="1"/>
        <rFont val="方正仿宋_GBK"/>
        <charset val="134"/>
      </rPr>
      <t>三丰路（兴仁至王家段）幸福美丽乡村路改建工程</t>
    </r>
  </si>
  <si>
    <t>5300001259956569</t>
  </si>
  <si>
    <r>
      <rPr>
        <sz val="14"/>
        <color theme="1"/>
        <rFont val="方正仿宋_GBK"/>
        <charset val="134"/>
      </rPr>
      <t>新改建道路</t>
    </r>
    <r>
      <rPr>
        <sz val="14"/>
        <color theme="1"/>
        <rFont val="Times New Roman"/>
        <charset val="134"/>
      </rPr>
      <t>6.95</t>
    </r>
    <r>
      <rPr>
        <sz val="14"/>
        <color theme="1"/>
        <rFont val="方正仿宋_GBK"/>
        <charset val="134"/>
      </rPr>
      <t>公里</t>
    </r>
  </si>
  <si>
    <t>23年安排产业项目资金比例</t>
  </si>
  <si>
    <t>到位资金</t>
  </si>
  <si>
    <t>安排差值</t>
  </si>
  <si>
    <t>安排资金及占比</t>
  </si>
  <si>
    <t>中央</t>
  </si>
  <si>
    <t>省级</t>
  </si>
  <si>
    <t>市级</t>
  </si>
  <si>
    <t>中（不含以工代赈）</t>
  </si>
  <si>
    <t>省</t>
  </si>
  <si>
    <t>部门</t>
  </si>
  <si>
    <t>安排资金</t>
  </si>
  <si>
    <t>其中：安排产业项目资金</t>
  </si>
  <si>
    <t>小计</t>
  </si>
  <si>
    <t>项目个数</t>
  </si>
  <si>
    <t>中</t>
  </si>
  <si>
    <t>市（预估）</t>
  </si>
  <si>
    <t>县（预估）</t>
  </si>
  <si>
    <t>中央小计</t>
  </si>
  <si>
    <t>一中</t>
  </si>
  <si>
    <t>二中</t>
  </si>
  <si>
    <t>占比</t>
  </si>
  <si>
    <t>省级小计</t>
  </si>
  <si>
    <t>一省</t>
  </si>
  <si>
    <t>二省</t>
  </si>
  <si>
    <t>三省</t>
  </si>
  <si>
    <t>县农业农村局</t>
  </si>
  <si>
    <t>—</t>
  </si>
  <si>
    <t>县乡村振兴局</t>
  </si>
  <si>
    <t>县委组织部</t>
  </si>
  <si>
    <t>县交运局</t>
  </si>
  <si>
    <t>县水务局</t>
  </si>
  <si>
    <t>合计</t>
  </si>
  <si>
    <t>全县各镇</t>
  </si>
  <si>
    <t>城北镇</t>
  </si>
  <si>
    <t>鼎屏镇</t>
  </si>
  <si>
    <t>观音桥镇</t>
  </si>
  <si>
    <t>柑子镇</t>
  </si>
  <si>
    <t>太和镇</t>
  </si>
  <si>
    <t>城南镇</t>
  </si>
  <si>
    <t>牟家镇</t>
  </si>
  <si>
    <t>梁板镇</t>
  </si>
  <si>
    <t>合流镇</t>
  </si>
  <si>
    <t>椿木镇</t>
  </si>
  <si>
    <t>坛同镇</t>
  </si>
  <si>
    <t>高滩镇</t>
  </si>
  <si>
    <t>两河镇</t>
  </si>
  <si>
    <t>石永镇</t>
  </si>
  <si>
    <t>王家镇</t>
  </si>
  <si>
    <t>三古镇</t>
  </si>
  <si>
    <t>袁市镇</t>
  </si>
  <si>
    <t>九龙镇</t>
  </si>
  <si>
    <t>御临镇</t>
  </si>
  <si>
    <t>复盛镇</t>
  </si>
  <si>
    <t>八耳镇</t>
  </si>
  <si>
    <t>石滓镇</t>
  </si>
  <si>
    <t>兴仁镇</t>
  </si>
  <si>
    <t>丰禾镇</t>
  </si>
  <si>
    <t>黎家镇</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</si>
</sst>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 numFmtId="178" formatCode="0.00_ "/>
  </numFmts>
  <fonts count="39">
    <font>
      <sz val="11"/>
      <color theme="1"/>
      <name val="宋体"/>
      <charset val="134"/>
      <scheme val="minor"/>
    </font>
    <font>
      <sz val="16"/>
      <color theme="1"/>
      <name val="宋体"/>
      <charset val="134"/>
      <scheme val="minor"/>
    </font>
    <font>
      <sz val="11"/>
      <color theme="1"/>
      <name val="宋体"/>
      <charset val="134"/>
    </font>
    <font>
      <sz val="13"/>
      <color theme="1"/>
      <name val="宋体"/>
      <charset val="134"/>
      <scheme val="minor"/>
    </font>
    <font>
      <sz val="14"/>
      <color theme="1"/>
      <name val="Times New Roman"/>
      <charset val="134"/>
    </font>
    <font>
      <b/>
      <sz val="36"/>
      <name val="方正小标宋_GBK"/>
      <charset val="134"/>
    </font>
    <font>
      <b/>
      <sz val="14"/>
      <name val="Times New Roman"/>
      <charset val="134"/>
    </font>
    <font>
      <sz val="14"/>
      <color theme="1"/>
      <name val="宋体"/>
      <charset val="134"/>
      <scheme val="minor"/>
    </font>
    <font>
      <sz val="13"/>
      <color theme="1"/>
      <name val="方正黑体_GBK"/>
      <charset val="134"/>
    </font>
    <font>
      <sz val="14"/>
      <name val="Times New Roman"/>
      <charset val="134"/>
    </font>
    <font>
      <sz val="14"/>
      <name val="Times New Roman"/>
      <charset val="0"/>
    </font>
    <font>
      <sz val="14"/>
      <color theme="1"/>
      <name val="方正仿宋_GBK"/>
      <charset val="134"/>
    </font>
    <font>
      <sz val="14"/>
      <color rgb="FF000000"/>
      <name val="Times New Roman"/>
      <charset val="134"/>
    </font>
    <font>
      <sz val="14"/>
      <name val="方正仿宋_GBK"/>
      <charset val="134"/>
    </font>
    <font>
      <sz val="14"/>
      <color theme="1"/>
      <name val="Times New Roman"/>
      <charset val="0"/>
    </font>
    <font>
      <sz val="14"/>
      <name val="方正仿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4"/>
      <color theme="1"/>
      <name val="方正仿宋_GBK"/>
      <charset val="0"/>
    </font>
    <font>
      <sz val="14"/>
      <color rgb="FF000000"/>
      <name val="方正仿宋_GBK"/>
      <charset val="134"/>
    </font>
    <font>
      <sz val="14"/>
      <color indexed="8"/>
      <name val="方正仿宋_GBK"/>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4" borderId="17" applyNumberFormat="0" applyAlignment="0" applyProtection="0">
      <alignment vertical="center"/>
    </xf>
    <xf numFmtId="0" fontId="25" fillId="5" borderId="18" applyNumberFormat="0" applyAlignment="0" applyProtection="0">
      <alignment vertical="center"/>
    </xf>
    <xf numFmtId="0" fontId="26" fillId="5" borderId="17" applyNumberFormat="0" applyAlignment="0" applyProtection="0">
      <alignment vertical="center"/>
    </xf>
    <xf numFmtId="0" fontId="27" fillId="6"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protection locked="0"/>
    </xf>
    <xf numFmtId="0" fontId="0" fillId="0" borderId="0">
      <alignment vertical="center"/>
    </xf>
  </cellStyleXfs>
  <cellXfs count="90">
    <xf numFmtId="0" fontId="0" fillId="0" borderId="0" xfId="0">
      <alignmen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176" fontId="1" fillId="2" borderId="4" xfId="0" applyNumberFormat="1" applyFont="1" applyFill="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10" fontId="1" fillId="0" borderId="1" xfId="0" applyNumberFormat="1" applyFont="1" applyBorder="1" applyAlignment="1">
      <alignment horizontal="center" vertical="center" wrapText="1"/>
    </xf>
    <xf numFmtId="10" fontId="1" fillId="0" borderId="2" xfId="0" applyNumberFormat="1" applyFont="1" applyBorder="1" applyAlignment="1">
      <alignment horizontal="center" vertical="center" wrapText="1"/>
    </xf>
    <xf numFmtId="10" fontId="1" fillId="0" borderId="3" xfId="0" applyNumberFormat="1" applyFont="1" applyBorder="1" applyAlignment="1">
      <alignment horizontal="center" vertical="center" wrapText="1"/>
    </xf>
    <xf numFmtId="176" fontId="1" fillId="2" borderId="0" xfId="0" applyNumberFormat="1" applyFont="1" applyFill="1" applyBorder="1" applyAlignment="1">
      <alignment horizontal="center" vertical="center"/>
    </xf>
    <xf numFmtId="0" fontId="0" fillId="0" borderId="0" xfId="0" applyBorder="1">
      <alignment vertical="center"/>
    </xf>
    <xf numFmtId="10" fontId="0" fillId="0" borderId="0" xfId="0" applyNumberFormat="1" applyBorder="1">
      <alignment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10" fontId="1" fillId="0" borderId="4" xfId="3" applyNumberFormat="1" applyFont="1" applyBorder="1" applyAlignment="1">
      <alignment horizontal="center" vertical="center"/>
    </xf>
    <xf numFmtId="0" fontId="1" fillId="0" borderId="4" xfId="3" applyNumberFormat="1" applyFont="1" applyBorder="1" applyAlignment="1">
      <alignment horizontal="center" vertical="center"/>
    </xf>
    <xf numFmtId="0" fontId="0" fillId="0" borderId="4"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2" fillId="0" borderId="4" xfId="0" applyNumberFormat="1" applyFont="1" applyFill="1" applyBorder="1" applyAlignment="1">
      <alignment horizontal="center"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vertical="center"/>
    </xf>
    <xf numFmtId="0" fontId="5" fillId="0" borderId="0" xfId="0" applyNumberFormat="1" applyFont="1" applyFill="1" applyAlignment="1">
      <alignment horizontal="center" vertical="center"/>
    </xf>
    <xf numFmtId="0" fontId="5" fillId="0" borderId="0" xfId="0" applyNumberFormat="1" applyFont="1" applyFill="1" applyAlignment="1">
      <alignment vertical="center"/>
    </xf>
    <xf numFmtId="0" fontId="6" fillId="0" borderId="0" xfId="0" applyNumberFormat="1" applyFont="1" applyFill="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vertical="center"/>
    </xf>
    <xf numFmtId="0" fontId="8"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177" fontId="10"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4"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0" borderId="4" xfId="0" applyNumberFormat="1" applyFont="1" applyFill="1" applyBorder="1" applyAlignment="1">
      <alignment horizontal="center" vertical="center"/>
    </xf>
    <xf numFmtId="0" fontId="9" fillId="0" borderId="4"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178" fontId="12" fillId="0" borderId="4"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177" fontId="10" fillId="0" borderId="5" xfId="0" applyNumberFormat="1" applyFont="1" applyFill="1" applyBorder="1" applyAlignment="1">
      <alignment horizontal="center" vertical="center" wrapText="1"/>
    </xf>
    <xf numFmtId="177" fontId="9" fillId="0" borderId="5" xfId="0" applyNumberFormat="1"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5" xfId="0" applyNumberFormat="1" applyFont="1" applyFill="1" applyBorder="1" applyAlignment="1">
      <alignment horizontal="center" vertical="center" wrapText="1"/>
    </xf>
    <xf numFmtId="0" fontId="4" fillId="0" borderId="8" xfId="0" applyFont="1" applyFill="1" applyBorder="1" applyAlignment="1">
      <alignment horizontal="center" vertical="center" wrapText="1"/>
    </xf>
    <xf numFmtId="0" fontId="9" fillId="0" borderId="8" xfId="0" applyFont="1" applyFill="1" applyBorder="1" applyAlignment="1">
      <alignment horizontal="center" vertical="center" wrapText="1"/>
    </xf>
    <xf numFmtId="177" fontId="10" fillId="0" borderId="8" xfId="0" applyNumberFormat="1"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8"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177" fontId="10" fillId="0" borderId="6" xfId="0" applyNumberFormat="1"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6"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177" fontId="9" fillId="0" borderId="4"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1" xfId="0" applyFont="1" applyFill="1" applyBorder="1" applyAlignment="1">
      <alignment horizontal="center" vertical="center" wrapText="1"/>
    </xf>
    <xf numFmtId="176" fontId="12" fillId="0" borderId="4" xfId="0" applyNumberFormat="1"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4" fillId="0" borderId="4" xfId="0" applyFont="1" applyFill="1" applyBorder="1" applyAlignment="1" quotePrefix="1">
      <alignment horizontal="center" vertical="center" wrapText="1"/>
    </xf>
    <xf numFmtId="0" fontId="4" fillId="0" borderId="5" xfId="0" applyFont="1" applyFill="1" applyBorder="1" applyAlignment="1" quotePrefix="1">
      <alignment horizontal="center" vertical="center" wrapText="1"/>
    </xf>
    <xf numFmtId="0" fontId="4" fillId="0" borderId="4" xfId="0" applyNumberFormat="1"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home\ht706\&#24037;&#20316;&#25991;&#20214;\2025&#24180;&#39033;&#30446;&#24211;&#36164;&#26009;\2025&#24180;&#20648;&#22791;&#39033;&#30446;&#36164;&#26009;\&#20844;&#31034;&#36164;&#26009;\\\home\ht706\.deepinwine\Deepin-WeChat\dosdevices\c:\users\ht706\Documents\WeChat%20Files\wxid_zjge2qdeupvm22\FileStorage\File\2025-10\2025&#24180;&#39033;&#30446;&#20648;&#22791;&#31354;&#3492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2"/>
      <sheetName val="项目类型 "/>
      <sheetName val="项目类型"/>
    </sheetNames>
    <sheetDataSet>
      <sheetData sheetId="0"/>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86"/>
  <sheetViews>
    <sheetView tabSelected="1" view="pageBreakPreview" zoomScale="60" zoomScaleNormal="70" workbookViewId="0">
      <pane xSplit="3" ySplit="8" topLeftCell="D9" activePane="bottomRight" state="frozen"/>
      <selection/>
      <selection pane="topRight"/>
      <selection pane="bottomLeft"/>
      <selection pane="bottomRight" activeCell="L8" sqref="L8"/>
    </sheetView>
  </sheetViews>
  <sheetFormatPr defaultColWidth="9" defaultRowHeight="18.75"/>
  <cols>
    <col min="1" max="1" width="7" style="28" customWidth="1"/>
    <col min="2" max="2" width="13.0333333333333" style="29" customWidth="1"/>
    <col min="3" max="3" width="37.0916666666667" style="28" customWidth="1"/>
    <col min="4" max="4" width="28.925" style="28" customWidth="1"/>
    <col min="5" max="5" width="22.675" style="28" customWidth="1"/>
    <col min="6" max="7" width="15.9083333333333" style="28" hidden="1" customWidth="1"/>
    <col min="8" max="8" width="14.8166666666667" style="28" customWidth="1"/>
    <col min="9" max="9" width="16.3583333333333" style="28" customWidth="1"/>
    <col min="10" max="10" width="15.8833333333333" style="28" customWidth="1"/>
    <col min="11" max="11" width="46.425" style="30" customWidth="1"/>
    <col min="12" max="12" width="12.1333333333333" style="28" customWidth="1"/>
    <col min="13" max="14" width="12.9333333333333" style="28" customWidth="1"/>
    <col min="15" max="18" width="13.3833333333333" style="28" hidden="1" customWidth="1"/>
    <col min="19" max="19" width="13.3833333333333" style="31" customWidth="1"/>
    <col min="20" max="20" width="13.3833333333333" style="28" hidden="1" customWidth="1"/>
    <col min="21" max="21" width="10.7083333333333" style="28" customWidth="1"/>
    <col min="22" max="22" width="9.99166666666667" style="28" customWidth="1"/>
    <col min="23" max="23" width="11.025" style="28" customWidth="1"/>
    <col min="24" max="24" width="26.2416666666667" style="32" customWidth="1"/>
    <col min="25" max="16384" width="9" style="28"/>
  </cols>
  <sheetData>
    <row r="1" s="28" customFormat="1" spans="1:24">
      <c r="B1" s="29"/>
      <c r="K1" s="30"/>
      <c r="S1" s="31"/>
      <c r="X1" s="32"/>
    </row>
    <row r="2" s="28" customFormat="1" ht="47.25" spans="1:24">
      <c r="A2" s="33" t="s">
        <v>0</v>
      </c>
      <c r="B2" s="33"/>
      <c r="C2" s="33"/>
      <c r="D2" s="34"/>
      <c r="E2" s="33"/>
      <c r="F2" s="34"/>
      <c r="G2" s="34"/>
      <c r="H2" s="33"/>
      <c r="I2" s="33"/>
      <c r="J2" s="33"/>
      <c r="K2" s="33"/>
      <c r="L2" s="33"/>
      <c r="M2" s="33"/>
      <c r="N2" s="33"/>
      <c r="O2" s="33"/>
      <c r="P2" s="33"/>
      <c r="Q2" s="33"/>
      <c r="R2" s="33"/>
      <c r="S2" s="33"/>
      <c r="T2" s="33"/>
      <c r="U2" s="33"/>
      <c r="V2" s="33"/>
      <c r="W2" s="34"/>
      <c r="X2" s="35"/>
    </row>
    <row r="3" s="28" customFormat="1" spans="1:24">
      <c r="B3" s="29"/>
      <c r="K3" s="30"/>
      <c r="O3" s="36"/>
      <c r="P3" s="36"/>
      <c r="Q3" s="36"/>
      <c r="R3" s="36"/>
      <c r="S3" s="36"/>
      <c r="X3" s="32"/>
    </row>
    <row r="4" s="28" customFormat="1" spans="1:24">
      <c r="A4" s="37" t="s">
        <v>1</v>
      </c>
      <c r="B4" s="29"/>
      <c r="C4" s="28"/>
      <c r="D4" s="28"/>
      <c r="E4" s="28"/>
      <c r="F4" s="28"/>
      <c r="G4" s="28"/>
      <c r="H4" s="28"/>
      <c r="I4" s="28"/>
      <c r="J4" s="28"/>
      <c r="K4" s="30"/>
      <c r="L4" s="28"/>
      <c r="M4" s="28"/>
      <c r="N4" s="28"/>
      <c r="O4" s="28"/>
      <c r="P4" s="28"/>
      <c r="Q4" s="28"/>
      <c r="R4" s="28"/>
      <c r="S4" s="31"/>
      <c r="T4" s="28"/>
      <c r="U4" s="28"/>
      <c r="V4" s="28"/>
      <c r="W4" s="28"/>
      <c r="X4" s="32"/>
    </row>
    <row r="5" s="28" customFormat="1" ht="40" customHeight="1" spans="1:24">
      <c r="A5" s="38" t="s">
        <v>2</v>
      </c>
      <c r="B5" s="38" t="s">
        <v>3</v>
      </c>
      <c r="C5" s="39" t="s">
        <v>4</v>
      </c>
      <c r="D5" s="40"/>
      <c r="E5" s="39"/>
      <c r="F5" s="40"/>
      <c r="G5" s="41"/>
      <c r="H5" s="39" t="s">
        <v>5</v>
      </c>
      <c r="I5" s="39"/>
      <c r="J5" s="39"/>
      <c r="K5" s="39"/>
      <c r="L5" s="38" t="s">
        <v>6</v>
      </c>
      <c r="M5" s="38" t="s">
        <v>7</v>
      </c>
      <c r="N5" s="39" t="s">
        <v>8</v>
      </c>
      <c r="O5" s="40"/>
      <c r="P5" s="40"/>
      <c r="Q5" s="40"/>
      <c r="R5" s="40"/>
      <c r="S5" s="39"/>
      <c r="T5" s="40"/>
      <c r="U5" s="39"/>
      <c r="V5" s="40"/>
      <c r="W5" s="40"/>
      <c r="X5" s="42" t="s">
        <v>9</v>
      </c>
    </row>
    <row r="6" s="28" customFormat="1" ht="38" customHeight="1" spans="1:24">
      <c r="A6" s="43"/>
      <c r="B6" s="43"/>
      <c r="C6" s="38" t="s">
        <v>10</v>
      </c>
      <c r="D6" s="38" t="s">
        <v>11</v>
      </c>
      <c r="E6" s="38" t="s">
        <v>12</v>
      </c>
      <c r="F6" s="38" t="s">
        <v>13</v>
      </c>
      <c r="G6" s="38" t="s">
        <v>14</v>
      </c>
      <c r="H6" s="38" t="s">
        <v>15</v>
      </c>
      <c r="I6" s="38" t="s">
        <v>16</v>
      </c>
      <c r="J6" s="38" t="s">
        <v>17</v>
      </c>
      <c r="K6" s="38" t="s">
        <v>18</v>
      </c>
      <c r="L6" s="43"/>
      <c r="M6" s="43"/>
      <c r="N6" s="38" t="s">
        <v>19</v>
      </c>
      <c r="O6" s="39" t="s">
        <v>20</v>
      </c>
      <c r="P6" s="39"/>
      <c r="Q6" s="39"/>
      <c r="R6" s="39" t="s">
        <v>21</v>
      </c>
      <c r="S6" s="38" t="s">
        <v>22</v>
      </c>
      <c r="T6" s="38" t="s">
        <v>23</v>
      </c>
      <c r="U6" s="38" t="s">
        <v>24</v>
      </c>
      <c r="V6" s="38" t="s">
        <v>25</v>
      </c>
      <c r="W6" s="44" t="s">
        <v>26</v>
      </c>
      <c r="X6" s="45"/>
    </row>
    <row r="7" s="28" customFormat="1" ht="40" customHeight="1" spans="1:24">
      <c r="A7" s="46"/>
      <c r="B7" s="46"/>
      <c r="C7" s="46"/>
      <c r="D7" s="46"/>
      <c r="E7" s="46"/>
      <c r="F7" s="46"/>
      <c r="G7" s="46"/>
      <c r="H7" s="46"/>
      <c r="I7" s="46"/>
      <c r="J7" s="46"/>
      <c r="K7" s="46"/>
      <c r="L7" s="46"/>
      <c r="M7" s="46"/>
      <c r="N7" s="46"/>
      <c r="O7" s="39" t="s">
        <v>27</v>
      </c>
      <c r="P7" s="39" t="s">
        <v>28</v>
      </c>
      <c r="Q7" s="39" t="s">
        <v>29</v>
      </c>
      <c r="R7" s="39" t="s">
        <v>27</v>
      </c>
      <c r="S7" s="46"/>
      <c r="T7" s="46"/>
      <c r="U7" s="46"/>
      <c r="V7" s="46"/>
      <c r="W7" s="47"/>
      <c r="X7" s="48"/>
    </row>
    <row r="8" s="28" customFormat="1" ht="40" customHeight="1" spans="1:24">
      <c r="A8" s="39"/>
      <c r="B8" s="39"/>
      <c r="C8" s="39"/>
      <c r="D8" s="39"/>
      <c r="E8" s="39"/>
      <c r="F8" s="39"/>
      <c r="G8" s="39"/>
      <c r="H8" s="39"/>
      <c r="I8" s="39"/>
      <c r="J8" s="39"/>
      <c r="K8" s="39"/>
      <c r="L8" s="39">
        <f t="shared" ref="L8:V8" si="0">SUM(L9:L86)</f>
        <v>20446.95</v>
      </c>
      <c r="M8" s="39">
        <f t="shared" si="0"/>
        <v>688</v>
      </c>
      <c r="N8" s="39">
        <f t="shared" si="0"/>
        <v>3610</v>
      </c>
      <c r="O8" s="39">
        <f t="shared" si="0"/>
        <v>2382</v>
      </c>
      <c r="P8" s="39">
        <f t="shared" si="0"/>
        <v>156</v>
      </c>
      <c r="Q8" s="39">
        <f t="shared" si="0"/>
        <v>380</v>
      </c>
      <c r="R8" s="39">
        <f t="shared" si="0"/>
        <v>692</v>
      </c>
      <c r="S8" s="39">
        <f t="shared" si="0"/>
        <v>10921</v>
      </c>
      <c r="T8" s="39">
        <f t="shared" si="0"/>
        <v>10921</v>
      </c>
      <c r="U8" s="39">
        <f t="shared" si="0"/>
        <v>971.26</v>
      </c>
      <c r="V8" s="39">
        <f t="shared" si="0"/>
        <v>3750</v>
      </c>
      <c r="W8" s="39"/>
      <c r="X8" s="49"/>
    </row>
    <row r="9" s="28" customFormat="1" ht="56.25" spans="1:24">
      <c r="A9" s="49">
        <v>1</v>
      </c>
      <c r="B9" s="50" t="s">
        <v>30</v>
      </c>
      <c r="C9" s="49" t="s">
        <v>31</v>
      </c>
      <c r="D9" s="49" t="s">
        <v>32</v>
      </c>
      <c r="E9" s="50" t="s">
        <v>33</v>
      </c>
      <c r="F9" s="49" t="s">
        <v>34</v>
      </c>
      <c r="G9" s="49" t="s">
        <v>35</v>
      </c>
      <c r="H9" s="50" t="s">
        <v>36</v>
      </c>
      <c r="I9" s="50" t="s">
        <v>37</v>
      </c>
      <c r="J9" s="50" t="s">
        <v>38</v>
      </c>
      <c r="K9" s="50" t="s">
        <v>39</v>
      </c>
      <c r="L9" s="51">
        <v>480</v>
      </c>
      <c r="M9" s="49"/>
      <c r="N9" s="49">
        <v>230</v>
      </c>
      <c r="O9" s="52">
        <v>0</v>
      </c>
      <c r="P9" s="52">
        <v>0</v>
      </c>
      <c r="Q9" s="52">
        <v>0</v>
      </c>
      <c r="R9" s="52">
        <v>0</v>
      </c>
      <c r="S9" s="49">
        <v>250</v>
      </c>
      <c r="T9" s="49">
        <v>480</v>
      </c>
      <c r="U9" s="53">
        <v>0</v>
      </c>
      <c r="V9" s="49">
        <v>0</v>
      </c>
      <c r="W9" s="49" t="s">
        <v>40</v>
      </c>
      <c r="X9" s="49" t="s">
        <v>41</v>
      </c>
    </row>
    <row r="10" s="28" customFormat="1" ht="56.25" spans="1:24">
      <c r="A10" s="49">
        <v>2</v>
      </c>
      <c r="B10" s="50" t="s">
        <v>30</v>
      </c>
      <c r="C10" s="49" t="s">
        <v>42</v>
      </c>
      <c r="D10" s="49" t="s">
        <v>43</v>
      </c>
      <c r="E10" s="50" t="s">
        <v>33</v>
      </c>
      <c r="F10" s="49" t="s">
        <v>34</v>
      </c>
      <c r="G10" s="49" t="s">
        <v>35</v>
      </c>
      <c r="H10" s="50" t="s">
        <v>36</v>
      </c>
      <c r="I10" s="50" t="s">
        <v>37</v>
      </c>
      <c r="J10" s="50" t="s">
        <v>38</v>
      </c>
      <c r="K10" s="50" t="s">
        <v>39</v>
      </c>
      <c r="L10" s="51">
        <v>480</v>
      </c>
      <c r="M10" s="49"/>
      <c r="N10" s="49">
        <f t="shared" ref="N10:N16" si="1">+SUM(O10:R10)</f>
        <v>0</v>
      </c>
      <c r="O10" s="52">
        <v>0</v>
      </c>
      <c r="P10" s="52">
        <v>0</v>
      </c>
      <c r="Q10" s="52">
        <v>0</v>
      </c>
      <c r="R10" s="52">
        <v>0</v>
      </c>
      <c r="S10" s="49">
        <f t="shared" ref="S9:S14" si="2">+SUM(T10)</f>
        <v>480</v>
      </c>
      <c r="T10" s="49">
        <v>480</v>
      </c>
      <c r="U10" s="53">
        <v>0</v>
      </c>
      <c r="V10" s="49">
        <v>0</v>
      </c>
      <c r="W10" s="49" t="s">
        <v>40</v>
      </c>
      <c r="X10" s="49" t="s">
        <v>41</v>
      </c>
    </row>
    <row r="11" s="28" customFormat="1" ht="93.75" spans="1:24">
      <c r="A11" s="49">
        <v>3</v>
      </c>
      <c r="B11" s="50" t="s">
        <v>30</v>
      </c>
      <c r="C11" s="54" t="s">
        <v>44</v>
      </c>
      <c r="D11" s="49" t="s">
        <v>45</v>
      </c>
      <c r="E11" s="50" t="s">
        <v>46</v>
      </c>
      <c r="F11" s="49" t="s">
        <v>47</v>
      </c>
      <c r="G11" s="49" t="s">
        <v>48</v>
      </c>
      <c r="H11" s="50" t="s">
        <v>36</v>
      </c>
      <c r="I11" s="50" t="s">
        <v>37</v>
      </c>
      <c r="J11" s="50" t="s">
        <v>38</v>
      </c>
      <c r="K11" s="50" t="s">
        <v>49</v>
      </c>
      <c r="L11" s="51">
        <v>495</v>
      </c>
      <c r="M11" s="49"/>
      <c r="N11" s="49">
        <f t="shared" si="1"/>
        <v>0</v>
      </c>
      <c r="O11" s="52">
        <v>0</v>
      </c>
      <c r="P11" s="52">
        <v>0</v>
      </c>
      <c r="Q11" s="52">
        <v>0</v>
      </c>
      <c r="R11" s="52">
        <v>0</v>
      </c>
      <c r="S11" s="49">
        <f t="shared" si="2"/>
        <v>495</v>
      </c>
      <c r="T11" s="49">
        <v>495</v>
      </c>
      <c r="U11" s="53">
        <v>0</v>
      </c>
      <c r="V11" s="49">
        <v>0</v>
      </c>
      <c r="W11" s="49" t="s">
        <v>40</v>
      </c>
      <c r="X11" s="49" t="s">
        <v>50</v>
      </c>
    </row>
    <row r="12" s="28" customFormat="1" ht="93.75" spans="1:24">
      <c r="A12" s="49">
        <v>4</v>
      </c>
      <c r="B12" s="50" t="s">
        <v>30</v>
      </c>
      <c r="C12" s="54" t="s">
        <v>51</v>
      </c>
      <c r="D12" s="49" t="s">
        <v>52</v>
      </c>
      <c r="E12" s="50" t="s">
        <v>46</v>
      </c>
      <c r="F12" s="49" t="s">
        <v>47</v>
      </c>
      <c r="G12" s="49" t="s">
        <v>48</v>
      </c>
      <c r="H12" s="50" t="s">
        <v>36</v>
      </c>
      <c r="I12" s="50" t="s">
        <v>37</v>
      </c>
      <c r="J12" s="50" t="s">
        <v>38</v>
      </c>
      <c r="K12" s="50" t="s">
        <v>49</v>
      </c>
      <c r="L12" s="51">
        <v>495</v>
      </c>
      <c r="M12" s="49"/>
      <c r="N12" s="49">
        <f t="shared" si="1"/>
        <v>0</v>
      </c>
      <c r="O12" s="52">
        <v>0</v>
      </c>
      <c r="P12" s="52">
        <v>0</v>
      </c>
      <c r="Q12" s="52">
        <v>0</v>
      </c>
      <c r="R12" s="52">
        <v>0</v>
      </c>
      <c r="S12" s="49">
        <f t="shared" si="2"/>
        <v>495</v>
      </c>
      <c r="T12" s="49">
        <v>495</v>
      </c>
      <c r="U12" s="53">
        <v>0</v>
      </c>
      <c r="V12" s="49">
        <v>0</v>
      </c>
      <c r="W12" s="49" t="s">
        <v>40</v>
      </c>
      <c r="X12" s="49" t="s">
        <v>50</v>
      </c>
    </row>
    <row r="13" s="28" customFormat="1" ht="93.75" spans="1:24">
      <c r="A13" s="49">
        <v>5</v>
      </c>
      <c r="B13" s="50" t="s">
        <v>30</v>
      </c>
      <c r="C13" s="54" t="s">
        <v>53</v>
      </c>
      <c r="D13" s="49" t="s">
        <v>54</v>
      </c>
      <c r="E13" s="50" t="s">
        <v>46</v>
      </c>
      <c r="F13" s="49" t="s">
        <v>47</v>
      </c>
      <c r="G13" s="49" t="s">
        <v>48</v>
      </c>
      <c r="H13" s="50" t="s">
        <v>36</v>
      </c>
      <c r="I13" s="50" t="s">
        <v>37</v>
      </c>
      <c r="J13" s="50" t="s">
        <v>38</v>
      </c>
      <c r="K13" s="50" t="s">
        <v>49</v>
      </c>
      <c r="L13" s="51">
        <v>495</v>
      </c>
      <c r="M13" s="49"/>
      <c r="N13" s="49">
        <f t="shared" si="1"/>
        <v>0</v>
      </c>
      <c r="O13" s="52">
        <v>0</v>
      </c>
      <c r="P13" s="52">
        <v>0</v>
      </c>
      <c r="Q13" s="52">
        <v>0</v>
      </c>
      <c r="R13" s="52">
        <v>0</v>
      </c>
      <c r="S13" s="49">
        <f t="shared" si="2"/>
        <v>495</v>
      </c>
      <c r="T13" s="49">
        <v>495</v>
      </c>
      <c r="U13" s="53">
        <v>0</v>
      </c>
      <c r="V13" s="49">
        <v>0</v>
      </c>
      <c r="W13" s="49" t="s">
        <v>40</v>
      </c>
      <c r="X13" s="49" t="s">
        <v>50</v>
      </c>
    </row>
    <row r="14" s="28" customFormat="1" ht="93.75" spans="1:24">
      <c r="A14" s="49">
        <v>6</v>
      </c>
      <c r="B14" s="50" t="s">
        <v>30</v>
      </c>
      <c r="C14" s="54" t="s">
        <v>55</v>
      </c>
      <c r="D14" s="49" t="s">
        <v>56</v>
      </c>
      <c r="E14" s="50" t="s">
        <v>46</v>
      </c>
      <c r="F14" s="49" t="s">
        <v>47</v>
      </c>
      <c r="G14" s="49" t="s">
        <v>48</v>
      </c>
      <c r="H14" s="50" t="s">
        <v>36</v>
      </c>
      <c r="I14" s="50" t="s">
        <v>37</v>
      </c>
      <c r="J14" s="50" t="s">
        <v>38</v>
      </c>
      <c r="K14" s="50" t="s">
        <v>49</v>
      </c>
      <c r="L14" s="51">
        <v>495</v>
      </c>
      <c r="M14" s="49"/>
      <c r="N14" s="49">
        <f t="shared" si="1"/>
        <v>0</v>
      </c>
      <c r="O14" s="52">
        <v>0</v>
      </c>
      <c r="P14" s="52">
        <v>0</v>
      </c>
      <c r="Q14" s="52">
        <v>0</v>
      </c>
      <c r="R14" s="52">
        <v>0</v>
      </c>
      <c r="S14" s="49">
        <f t="shared" si="2"/>
        <v>495</v>
      </c>
      <c r="T14" s="49">
        <v>495</v>
      </c>
      <c r="U14" s="53">
        <v>0</v>
      </c>
      <c r="V14" s="49">
        <v>0</v>
      </c>
      <c r="W14" s="49" t="s">
        <v>40</v>
      </c>
      <c r="X14" s="49" t="s">
        <v>50</v>
      </c>
    </row>
    <row r="15" s="28" customFormat="1" ht="37.5" spans="1:24">
      <c r="A15" s="49">
        <v>7</v>
      </c>
      <c r="B15" s="50" t="s">
        <v>30</v>
      </c>
      <c r="C15" s="54" t="s">
        <v>57</v>
      </c>
      <c r="D15" s="49" t="s">
        <v>58</v>
      </c>
      <c r="E15" s="50" t="s">
        <v>46</v>
      </c>
      <c r="F15" s="49" t="s">
        <v>59</v>
      </c>
      <c r="G15" s="49" t="s">
        <v>59</v>
      </c>
      <c r="H15" s="50" t="s">
        <v>36</v>
      </c>
      <c r="I15" s="50" t="s">
        <v>37</v>
      </c>
      <c r="J15" s="50" t="s">
        <v>38</v>
      </c>
      <c r="K15" s="49" t="s">
        <v>60</v>
      </c>
      <c r="L15" s="49">
        <v>300</v>
      </c>
      <c r="M15" s="49"/>
      <c r="N15" s="49">
        <f t="shared" si="1"/>
        <v>0</v>
      </c>
      <c r="O15" s="52">
        <v>0</v>
      </c>
      <c r="P15" s="52">
        <v>0</v>
      </c>
      <c r="Q15" s="52">
        <v>0</v>
      </c>
      <c r="R15" s="52">
        <v>0</v>
      </c>
      <c r="S15" s="49">
        <f t="shared" ref="S15:S23" si="3">+SUM(T15)</f>
        <v>300</v>
      </c>
      <c r="T15" s="49">
        <v>300</v>
      </c>
      <c r="U15" s="55">
        <v>0</v>
      </c>
      <c r="V15" s="49">
        <v>0</v>
      </c>
      <c r="W15" s="49" t="s">
        <v>40</v>
      </c>
      <c r="X15" s="49" t="s">
        <v>61</v>
      </c>
    </row>
    <row r="16" s="28" customFormat="1" ht="37.5" spans="1:24">
      <c r="A16" s="49">
        <v>8</v>
      </c>
      <c r="B16" s="49" t="s">
        <v>62</v>
      </c>
      <c r="C16" s="50" t="s">
        <v>63</v>
      </c>
      <c r="D16" s="49" t="s">
        <v>64</v>
      </c>
      <c r="E16" s="50" t="s">
        <v>46</v>
      </c>
      <c r="F16" s="49" t="s">
        <v>59</v>
      </c>
      <c r="G16" s="49" t="s">
        <v>59</v>
      </c>
      <c r="H16" s="50" t="s">
        <v>36</v>
      </c>
      <c r="I16" s="50" t="s">
        <v>37</v>
      </c>
      <c r="J16" s="50" t="s">
        <v>38</v>
      </c>
      <c r="K16" s="53" t="s">
        <v>65</v>
      </c>
      <c r="L16" s="49">
        <v>450</v>
      </c>
      <c r="M16" s="49"/>
      <c r="N16" s="49">
        <f t="shared" si="1"/>
        <v>0</v>
      </c>
      <c r="O16" s="52">
        <v>0</v>
      </c>
      <c r="P16" s="52">
        <v>0</v>
      </c>
      <c r="Q16" s="52">
        <v>0</v>
      </c>
      <c r="R16" s="52">
        <v>0</v>
      </c>
      <c r="S16" s="49">
        <f t="shared" si="3"/>
        <v>450</v>
      </c>
      <c r="T16" s="49">
        <v>450</v>
      </c>
      <c r="U16" s="55">
        <v>0</v>
      </c>
      <c r="V16" s="49">
        <v>0</v>
      </c>
      <c r="W16" s="49" t="s">
        <v>40</v>
      </c>
      <c r="X16" s="49" t="s">
        <v>61</v>
      </c>
    </row>
    <row r="17" s="28" customFormat="1" ht="37.5" spans="1:24">
      <c r="A17" s="49">
        <v>9</v>
      </c>
      <c r="B17" s="49" t="s">
        <v>62</v>
      </c>
      <c r="C17" s="50" t="s">
        <v>66</v>
      </c>
      <c r="D17" s="49" t="s">
        <v>67</v>
      </c>
      <c r="E17" s="50" t="s">
        <v>46</v>
      </c>
      <c r="F17" s="49" t="s">
        <v>59</v>
      </c>
      <c r="G17" s="49" t="s">
        <v>59</v>
      </c>
      <c r="H17" s="50" t="s">
        <v>36</v>
      </c>
      <c r="I17" s="50" t="s">
        <v>37</v>
      </c>
      <c r="J17" s="50" t="s">
        <v>38</v>
      </c>
      <c r="K17" s="53" t="s">
        <v>65</v>
      </c>
      <c r="L17" s="49">
        <v>450</v>
      </c>
      <c r="M17" s="49"/>
      <c r="N17" s="49">
        <f t="shared" ref="N17:N22" si="4">+SUM(O17:R17)</f>
        <v>0</v>
      </c>
      <c r="O17" s="52">
        <v>0</v>
      </c>
      <c r="P17" s="52">
        <v>0</v>
      </c>
      <c r="Q17" s="52">
        <v>0</v>
      </c>
      <c r="R17" s="52">
        <v>0</v>
      </c>
      <c r="S17" s="49">
        <f t="shared" si="3"/>
        <v>450</v>
      </c>
      <c r="T17" s="49">
        <v>450</v>
      </c>
      <c r="U17" s="55">
        <v>0</v>
      </c>
      <c r="V17" s="49">
        <v>0</v>
      </c>
      <c r="W17" s="49" t="s">
        <v>40</v>
      </c>
      <c r="X17" s="49" t="s">
        <v>61</v>
      </c>
    </row>
    <row r="18" s="28" customFormat="1" ht="37.5" spans="1:24">
      <c r="A18" s="49">
        <v>10</v>
      </c>
      <c r="B18" s="49" t="s">
        <v>62</v>
      </c>
      <c r="C18" s="50" t="s">
        <v>68</v>
      </c>
      <c r="D18" s="49" t="s">
        <v>69</v>
      </c>
      <c r="E18" s="50" t="s">
        <v>46</v>
      </c>
      <c r="F18" s="49" t="s">
        <v>59</v>
      </c>
      <c r="G18" s="49" t="s">
        <v>59</v>
      </c>
      <c r="H18" s="50" t="s">
        <v>36</v>
      </c>
      <c r="I18" s="50" t="s">
        <v>37</v>
      </c>
      <c r="J18" s="50" t="s">
        <v>38</v>
      </c>
      <c r="K18" s="49" t="s">
        <v>60</v>
      </c>
      <c r="L18" s="49">
        <v>300</v>
      </c>
      <c r="M18" s="49"/>
      <c r="N18" s="49">
        <f t="shared" si="4"/>
        <v>0</v>
      </c>
      <c r="O18" s="52">
        <v>0</v>
      </c>
      <c r="P18" s="52">
        <v>0</v>
      </c>
      <c r="Q18" s="52">
        <v>0</v>
      </c>
      <c r="R18" s="52">
        <v>0</v>
      </c>
      <c r="S18" s="49">
        <f t="shared" si="3"/>
        <v>300</v>
      </c>
      <c r="T18" s="49">
        <v>300</v>
      </c>
      <c r="U18" s="55">
        <v>0</v>
      </c>
      <c r="V18" s="49">
        <v>0</v>
      </c>
      <c r="W18" s="49" t="s">
        <v>40</v>
      </c>
      <c r="X18" s="49" t="s">
        <v>61</v>
      </c>
    </row>
    <row r="19" s="28" customFormat="1" ht="56.25" spans="1:24">
      <c r="A19" s="49">
        <v>11</v>
      </c>
      <c r="B19" s="49" t="s">
        <v>62</v>
      </c>
      <c r="C19" s="56" t="s">
        <v>70</v>
      </c>
      <c r="D19" s="49" t="s">
        <v>71</v>
      </c>
      <c r="E19" s="50" t="s">
        <v>72</v>
      </c>
      <c r="F19" s="49" t="s">
        <v>73</v>
      </c>
      <c r="G19" s="49" t="s">
        <v>74</v>
      </c>
      <c r="H19" s="50" t="s">
        <v>36</v>
      </c>
      <c r="I19" s="50" t="s">
        <v>37</v>
      </c>
      <c r="J19" s="50" t="s">
        <v>38</v>
      </c>
      <c r="K19" s="50" t="s">
        <v>75</v>
      </c>
      <c r="L19" s="51">
        <v>462</v>
      </c>
      <c r="M19" s="49"/>
      <c r="N19" s="49">
        <f t="shared" si="4"/>
        <v>183</v>
      </c>
      <c r="O19" s="49">
        <f>126+57</f>
        <v>183</v>
      </c>
      <c r="P19" s="53">
        <v>0</v>
      </c>
      <c r="Q19" s="52">
        <v>0</v>
      </c>
      <c r="R19" s="53">
        <v>0</v>
      </c>
      <c r="S19" s="49">
        <f t="shared" si="3"/>
        <v>279</v>
      </c>
      <c r="T19" s="49">
        <v>279</v>
      </c>
      <c r="U19" s="49">
        <v>0</v>
      </c>
      <c r="V19" s="53">
        <v>0</v>
      </c>
      <c r="W19" s="49" t="s">
        <v>40</v>
      </c>
      <c r="X19" s="49" t="s">
        <v>76</v>
      </c>
    </row>
    <row r="20" s="28" customFormat="1" ht="43" customHeight="1" spans="1:24">
      <c r="A20" s="49">
        <v>12</v>
      </c>
      <c r="B20" s="49" t="s">
        <v>62</v>
      </c>
      <c r="C20" s="56" t="s">
        <v>77</v>
      </c>
      <c r="D20" s="90" t="s">
        <v>78</v>
      </c>
      <c r="E20" s="50" t="s">
        <v>72</v>
      </c>
      <c r="F20" s="49" t="s">
        <v>73</v>
      </c>
      <c r="G20" s="49" t="s">
        <v>74</v>
      </c>
      <c r="H20" s="50" t="s">
        <v>36</v>
      </c>
      <c r="I20" s="50" t="s">
        <v>37</v>
      </c>
      <c r="J20" s="50" t="s">
        <v>38</v>
      </c>
      <c r="K20" s="50" t="s">
        <v>75</v>
      </c>
      <c r="L20" s="51">
        <v>470</v>
      </c>
      <c r="M20" s="49"/>
      <c r="N20" s="49">
        <f t="shared" si="4"/>
        <v>0</v>
      </c>
      <c r="O20" s="49">
        <v>0</v>
      </c>
      <c r="P20" s="53">
        <v>0</v>
      </c>
      <c r="Q20" s="52">
        <v>0</v>
      </c>
      <c r="R20" s="53">
        <v>0</v>
      </c>
      <c r="S20" s="49">
        <f t="shared" si="3"/>
        <v>470</v>
      </c>
      <c r="T20" s="49">
        <v>470</v>
      </c>
      <c r="U20" s="49">
        <v>0</v>
      </c>
      <c r="V20" s="53">
        <v>0</v>
      </c>
      <c r="W20" s="57" t="s">
        <v>79</v>
      </c>
      <c r="X20" s="49" t="s">
        <v>76</v>
      </c>
    </row>
    <row r="21" s="28" customFormat="1" ht="43" customHeight="1" spans="1:24">
      <c r="A21" s="49">
        <v>13</v>
      </c>
      <c r="B21" s="49" t="s">
        <v>62</v>
      </c>
      <c r="C21" s="56" t="s">
        <v>80</v>
      </c>
      <c r="D21" s="90" t="s">
        <v>81</v>
      </c>
      <c r="E21" s="50" t="s">
        <v>72</v>
      </c>
      <c r="F21" s="49" t="s">
        <v>73</v>
      </c>
      <c r="G21" s="49" t="s">
        <v>74</v>
      </c>
      <c r="H21" s="50" t="s">
        <v>36</v>
      </c>
      <c r="I21" s="50" t="s">
        <v>37</v>
      </c>
      <c r="J21" s="50" t="s">
        <v>38</v>
      </c>
      <c r="K21" s="50" t="s">
        <v>75</v>
      </c>
      <c r="L21" s="51">
        <v>470</v>
      </c>
      <c r="M21" s="49"/>
      <c r="N21" s="49">
        <f t="shared" si="4"/>
        <v>0</v>
      </c>
      <c r="O21" s="49">
        <v>0</v>
      </c>
      <c r="P21" s="53">
        <v>0</v>
      </c>
      <c r="Q21" s="52">
        <v>0</v>
      </c>
      <c r="R21" s="53">
        <v>0</v>
      </c>
      <c r="S21" s="49">
        <f t="shared" si="3"/>
        <v>470</v>
      </c>
      <c r="T21" s="49">
        <v>470</v>
      </c>
      <c r="U21" s="49">
        <v>0</v>
      </c>
      <c r="V21" s="53">
        <v>0</v>
      </c>
      <c r="W21" s="57" t="s">
        <v>79</v>
      </c>
      <c r="X21" s="49" t="s">
        <v>76</v>
      </c>
    </row>
    <row r="22" s="28" customFormat="1" ht="43" customHeight="1" spans="1:24">
      <c r="A22" s="49">
        <v>14</v>
      </c>
      <c r="B22" s="50" t="s">
        <v>30</v>
      </c>
      <c r="C22" s="54" t="s">
        <v>82</v>
      </c>
      <c r="D22" s="49" t="s">
        <v>83</v>
      </c>
      <c r="E22" s="50" t="s">
        <v>33</v>
      </c>
      <c r="F22" s="49" t="s">
        <v>84</v>
      </c>
      <c r="G22" s="49" t="s">
        <v>85</v>
      </c>
      <c r="H22" s="50" t="s">
        <v>36</v>
      </c>
      <c r="I22" s="50" t="s">
        <v>37</v>
      </c>
      <c r="J22" s="50" t="s">
        <v>38</v>
      </c>
      <c r="K22" s="50" t="s">
        <v>86</v>
      </c>
      <c r="L22" s="51">
        <v>80</v>
      </c>
      <c r="M22" s="49"/>
      <c r="N22" s="49">
        <f t="shared" si="4"/>
        <v>80</v>
      </c>
      <c r="O22" s="52">
        <v>80</v>
      </c>
      <c r="P22" s="52">
        <v>0</v>
      </c>
      <c r="Q22" s="52">
        <v>0</v>
      </c>
      <c r="R22" s="52">
        <v>0</v>
      </c>
      <c r="S22" s="49">
        <f t="shared" si="3"/>
        <v>0</v>
      </c>
      <c r="T22" s="49">
        <v>0</v>
      </c>
      <c r="U22" s="49">
        <v>0</v>
      </c>
      <c r="V22" s="49">
        <v>0</v>
      </c>
      <c r="W22" s="57" t="s">
        <v>79</v>
      </c>
      <c r="X22" s="49" t="s">
        <v>41</v>
      </c>
    </row>
    <row r="23" s="28" customFormat="1" ht="75" spans="1:24">
      <c r="A23" s="49">
        <v>15</v>
      </c>
      <c r="B23" s="50" t="s">
        <v>30</v>
      </c>
      <c r="C23" s="50" t="s">
        <v>87</v>
      </c>
      <c r="D23" s="90" t="s">
        <v>88</v>
      </c>
      <c r="E23" s="50" t="s">
        <v>33</v>
      </c>
      <c r="F23" s="49" t="s">
        <v>89</v>
      </c>
      <c r="G23" s="49" t="s">
        <v>89</v>
      </c>
      <c r="H23" s="50" t="s">
        <v>90</v>
      </c>
      <c r="I23" s="50" t="s">
        <v>91</v>
      </c>
      <c r="J23" s="56" t="s">
        <v>92</v>
      </c>
      <c r="K23" s="50" t="s">
        <v>93</v>
      </c>
      <c r="L23" s="51">
        <v>150</v>
      </c>
      <c r="M23" s="49"/>
      <c r="N23" s="49">
        <f t="shared" ref="N23:N72" si="5">+SUM(O23:R23)</f>
        <v>70</v>
      </c>
      <c r="O23" s="52">
        <v>70</v>
      </c>
      <c r="P23" s="55">
        <v>0</v>
      </c>
      <c r="Q23" s="52">
        <v>0</v>
      </c>
      <c r="R23" s="55">
        <v>0</v>
      </c>
      <c r="S23" s="49">
        <f t="shared" si="3"/>
        <v>40</v>
      </c>
      <c r="T23" s="49">
        <v>40</v>
      </c>
      <c r="U23" s="49">
        <v>20</v>
      </c>
      <c r="V23" s="53">
        <v>0</v>
      </c>
      <c r="W23" s="57" t="s">
        <v>79</v>
      </c>
      <c r="X23" s="50" t="s">
        <v>94</v>
      </c>
    </row>
    <row r="24" s="28" customFormat="1" ht="75" spans="1:24">
      <c r="A24" s="49">
        <v>16</v>
      </c>
      <c r="B24" s="50" t="s">
        <v>30</v>
      </c>
      <c r="C24" s="50" t="s">
        <v>95</v>
      </c>
      <c r="D24" s="49" t="s">
        <v>96</v>
      </c>
      <c r="E24" s="50" t="s">
        <v>33</v>
      </c>
      <c r="F24" s="49" t="s">
        <v>89</v>
      </c>
      <c r="G24" s="49" t="s">
        <v>89</v>
      </c>
      <c r="H24" s="50" t="s">
        <v>90</v>
      </c>
      <c r="I24" s="50" t="s">
        <v>97</v>
      </c>
      <c r="J24" s="56" t="s">
        <v>98</v>
      </c>
      <c r="K24" s="50" t="s">
        <v>93</v>
      </c>
      <c r="L24" s="51">
        <v>150</v>
      </c>
      <c r="M24" s="49"/>
      <c r="N24" s="49">
        <f t="shared" si="5"/>
        <v>70</v>
      </c>
      <c r="O24" s="52">
        <v>70</v>
      </c>
      <c r="P24" s="55">
        <v>0</v>
      </c>
      <c r="Q24" s="52">
        <v>0</v>
      </c>
      <c r="R24" s="55">
        <v>0</v>
      </c>
      <c r="S24" s="49">
        <f t="shared" ref="S23:S67" si="6">+SUM(T24)</f>
        <v>40</v>
      </c>
      <c r="T24" s="49">
        <v>40</v>
      </c>
      <c r="U24" s="49">
        <v>20</v>
      </c>
      <c r="V24" s="53">
        <v>0</v>
      </c>
      <c r="W24" s="57" t="s">
        <v>79</v>
      </c>
      <c r="X24" s="50" t="s">
        <v>94</v>
      </c>
    </row>
    <row r="25" s="28" customFormat="1" ht="75" spans="1:24">
      <c r="A25" s="49">
        <v>17</v>
      </c>
      <c r="B25" s="50" t="s">
        <v>30</v>
      </c>
      <c r="C25" s="50" t="s">
        <v>99</v>
      </c>
      <c r="D25" s="49" t="s">
        <v>100</v>
      </c>
      <c r="E25" s="50" t="s">
        <v>33</v>
      </c>
      <c r="F25" s="49" t="s">
        <v>89</v>
      </c>
      <c r="G25" s="49" t="s">
        <v>89</v>
      </c>
      <c r="H25" s="50" t="s">
        <v>90</v>
      </c>
      <c r="I25" s="50" t="s">
        <v>101</v>
      </c>
      <c r="J25" s="56" t="s">
        <v>102</v>
      </c>
      <c r="K25" s="50" t="s">
        <v>93</v>
      </c>
      <c r="L25" s="51">
        <v>150</v>
      </c>
      <c r="M25" s="49"/>
      <c r="N25" s="49">
        <f t="shared" si="5"/>
        <v>70</v>
      </c>
      <c r="O25" s="52">
        <v>70</v>
      </c>
      <c r="P25" s="55">
        <v>0</v>
      </c>
      <c r="Q25" s="52">
        <v>0</v>
      </c>
      <c r="R25" s="55">
        <v>0</v>
      </c>
      <c r="S25" s="49">
        <f t="shared" si="6"/>
        <v>40</v>
      </c>
      <c r="T25" s="49">
        <v>40</v>
      </c>
      <c r="U25" s="49">
        <v>20</v>
      </c>
      <c r="V25" s="53">
        <v>0</v>
      </c>
      <c r="W25" s="57" t="s">
        <v>79</v>
      </c>
      <c r="X25" s="50" t="s">
        <v>94</v>
      </c>
    </row>
    <row r="26" s="28" customFormat="1" ht="75" spans="1:24">
      <c r="A26" s="49">
        <v>18</v>
      </c>
      <c r="B26" s="50" t="s">
        <v>30</v>
      </c>
      <c r="C26" s="50" t="s">
        <v>103</v>
      </c>
      <c r="D26" s="49" t="s">
        <v>104</v>
      </c>
      <c r="E26" s="50" t="s">
        <v>33</v>
      </c>
      <c r="F26" s="49" t="s">
        <v>89</v>
      </c>
      <c r="G26" s="49" t="s">
        <v>89</v>
      </c>
      <c r="H26" s="50" t="s">
        <v>90</v>
      </c>
      <c r="I26" s="50" t="s">
        <v>105</v>
      </c>
      <c r="J26" s="50" t="s">
        <v>106</v>
      </c>
      <c r="K26" s="50" t="s">
        <v>93</v>
      </c>
      <c r="L26" s="51">
        <v>150</v>
      </c>
      <c r="M26" s="49"/>
      <c r="N26" s="49">
        <f t="shared" si="5"/>
        <v>70</v>
      </c>
      <c r="O26" s="52">
        <v>70</v>
      </c>
      <c r="P26" s="55">
        <v>0</v>
      </c>
      <c r="Q26" s="52">
        <v>0</v>
      </c>
      <c r="R26" s="55">
        <v>0</v>
      </c>
      <c r="S26" s="49">
        <f t="shared" si="6"/>
        <v>40</v>
      </c>
      <c r="T26" s="49">
        <v>40</v>
      </c>
      <c r="U26" s="49">
        <v>20</v>
      </c>
      <c r="V26" s="53">
        <v>0</v>
      </c>
      <c r="W26" s="57" t="s">
        <v>79</v>
      </c>
      <c r="X26" s="50" t="s">
        <v>94</v>
      </c>
    </row>
    <row r="27" s="28" customFormat="1" ht="75" spans="1:24">
      <c r="A27" s="49">
        <v>19</v>
      </c>
      <c r="B27" s="50" t="s">
        <v>30</v>
      </c>
      <c r="C27" s="50" t="s">
        <v>107</v>
      </c>
      <c r="D27" s="49" t="s">
        <v>108</v>
      </c>
      <c r="E27" s="50" t="s">
        <v>33</v>
      </c>
      <c r="F27" s="49" t="s">
        <v>89</v>
      </c>
      <c r="G27" s="49" t="s">
        <v>89</v>
      </c>
      <c r="H27" s="50" t="s">
        <v>90</v>
      </c>
      <c r="I27" s="50" t="s">
        <v>109</v>
      </c>
      <c r="J27" s="56" t="s">
        <v>110</v>
      </c>
      <c r="K27" s="50" t="s">
        <v>93</v>
      </c>
      <c r="L27" s="51">
        <v>150</v>
      </c>
      <c r="M27" s="49"/>
      <c r="N27" s="49">
        <f t="shared" si="5"/>
        <v>70</v>
      </c>
      <c r="O27" s="52">
        <v>70</v>
      </c>
      <c r="P27" s="55">
        <v>0</v>
      </c>
      <c r="Q27" s="52">
        <v>0</v>
      </c>
      <c r="R27" s="55">
        <v>0</v>
      </c>
      <c r="S27" s="49">
        <f t="shared" si="6"/>
        <v>40</v>
      </c>
      <c r="T27" s="49">
        <v>40</v>
      </c>
      <c r="U27" s="49">
        <v>20</v>
      </c>
      <c r="V27" s="53">
        <v>0</v>
      </c>
      <c r="W27" s="57" t="s">
        <v>79</v>
      </c>
      <c r="X27" s="50" t="s">
        <v>94</v>
      </c>
    </row>
    <row r="28" s="28" customFormat="1" ht="75" spans="1:24">
      <c r="A28" s="49">
        <v>20</v>
      </c>
      <c r="B28" s="50" t="s">
        <v>30</v>
      </c>
      <c r="C28" s="50" t="s">
        <v>111</v>
      </c>
      <c r="D28" s="49" t="s">
        <v>112</v>
      </c>
      <c r="E28" s="50" t="s">
        <v>33</v>
      </c>
      <c r="F28" s="49" t="s">
        <v>89</v>
      </c>
      <c r="G28" s="49" t="s">
        <v>89</v>
      </c>
      <c r="H28" s="50" t="s">
        <v>90</v>
      </c>
      <c r="I28" s="50" t="s">
        <v>113</v>
      </c>
      <c r="J28" s="56" t="s">
        <v>114</v>
      </c>
      <c r="K28" s="50" t="s">
        <v>93</v>
      </c>
      <c r="L28" s="51">
        <v>150</v>
      </c>
      <c r="M28" s="49"/>
      <c r="N28" s="49">
        <f t="shared" si="5"/>
        <v>70</v>
      </c>
      <c r="O28" s="52">
        <v>70</v>
      </c>
      <c r="P28" s="55">
        <v>0</v>
      </c>
      <c r="Q28" s="52">
        <v>0</v>
      </c>
      <c r="R28" s="55">
        <v>0</v>
      </c>
      <c r="S28" s="49">
        <f t="shared" si="6"/>
        <v>40</v>
      </c>
      <c r="T28" s="49">
        <v>40</v>
      </c>
      <c r="U28" s="49">
        <v>20</v>
      </c>
      <c r="V28" s="53">
        <v>0</v>
      </c>
      <c r="W28" s="57" t="s">
        <v>79</v>
      </c>
      <c r="X28" s="50" t="s">
        <v>94</v>
      </c>
    </row>
    <row r="29" s="28" customFormat="1" ht="75" spans="1:24">
      <c r="A29" s="49">
        <v>21</v>
      </c>
      <c r="B29" s="50" t="s">
        <v>30</v>
      </c>
      <c r="C29" s="50" t="s">
        <v>115</v>
      </c>
      <c r="D29" s="49" t="s">
        <v>116</v>
      </c>
      <c r="E29" s="50" t="s">
        <v>33</v>
      </c>
      <c r="F29" s="49" t="s">
        <v>89</v>
      </c>
      <c r="G29" s="49" t="s">
        <v>89</v>
      </c>
      <c r="H29" s="50" t="s">
        <v>90</v>
      </c>
      <c r="I29" s="50" t="s">
        <v>113</v>
      </c>
      <c r="J29" s="56" t="s">
        <v>114</v>
      </c>
      <c r="K29" s="50" t="s">
        <v>93</v>
      </c>
      <c r="L29" s="51">
        <v>150</v>
      </c>
      <c r="M29" s="49"/>
      <c r="N29" s="49">
        <f t="shared" si="5"/>
        <v>70</v>
      </c>
      <c r="O29" s="52">
        <v>70</v>
      </c>
      <c r="P29" s="55">
        <v>0</v>
      </c>
      <c r="Q29" s="52">
        <v>0</v>
      </c>
      <c r="R29" s="55">
        <v>0</v>
      </c>
      <c r="S29" s="49">
        <f t="shared" si="6"/>
        <v>40</v>
      </c>
      <c r="T29" s="49">
        <v>40</v>
      </c>
      <c r="U29" s="49">
        <v>20</v>
      </c>
      <c r="V29" s="53">
        <v>0</v>
      </c>
      <c r="W29" s="57" t="s">
        <v>79</v>
      </c>
      <c r="X29" s="50" t="s">
        <v>94</v>
      </c>
    </row>
    <row r="30" s="28" customFormat="1" ht="75" spans="1:24">
      <c r="A30" s="49">
        <v>22</v>
      </c>
      <c r="B30" s="50" t="s">
        <v>30</v>
      </c>
      <c r="C30" s="50" t="s">
        <v>117</v>
      </c>
      <c r="D30" s="49" t="s">
        <v>118</v>
      </c>
      <c r="E30" s="50" t="s">
        <v>33</v>
      </c>
      <c r="F30" s="49" t="s">
        <v>89</v>
      </c>
      <c r="G30" s="49" t="s">
        <v>89</v>
      </c>
      <c r="H30" s="50" t="s">
        <v>90</v>
      </c>
      <c r="I30" s="50" t="s">
        <v>119</v>
      </c>
      <c r="J30" s="50" t="s">
        <v>120</v>
      </c>
      <c r="K30" s="50" t="s">
        <v>93</v>
      </c>
      <c r="L30" s="51">
        <v>150</v>
      </c>
      <c r="M30" s="49"/>
      <c r="N30" s="49">
        <f t="shared" si="5"/>
        <v>70</v>
      </c>
      <c r="O30" s="52">
        <v>70</v>
      </c>
      <c r="P30" s="55">
        <v>0</v>
      </c>
      <c r="Q30" s="52">
        <v>0</v>
      </c>
      <c r="R30" s="55">
        <v>0</v>
      </c>
      <c r="S30" s="49">
        <f t="shared" si="6"/>
        <v>40</v>
      </c>
      <c r="T30" s="49">
        <v>40</v>
      </c>
      <c r="U30" s="49">
        <v>20</v>
      </c>
      <c r="V30" s="53">
        <v>0</v>
      </c>
      <c r="W30" s="57" t="s">
        <v>79</v>
      </c>
      <c r="X30" s="50" t="s">
        <v>94</v>
      </c>
    </row>
    <row r="31" s="28" customFormat="1" ht="75" spans="1:24">
      <c r="A31" s="49">
        <v>23</v>
      </c>
      <c r="B31" s="50" t="s">
        <v>30</v>
      </c>
      <c r="C31" s="50" t="s">
        <v>121</v>
      </c>
      <c r="D31" s="49" t="s">
        <v>122</v>
      </c>
      <c r="E31" s="50" t="s">
        <v>33</v>
      </c>
      <c r="F31" s="49" t="s">
        <v>89</v>
      </c>
      <c r="G31" s="49" t="s">
        <v>89</v>
      </c>
      <c r="H31" s="50" t="s">
        <v>90</v>
      </c>
      <c r="I31" s="50" t="s">
        <v>123</v>
      </c>
      <c r="J31" s="56" t="s">
        <v>124</v>
      </c>
      <c r="K31" s="50" t="s">
        <v>93</v>
      </c>
      <c r="L31" s="51">
        <v>150</v>
      </c>
      <c r="M31" s="49"/>
      <c r="N31" s="49">
        <f t="shared" si="5"/>
        <v>70</v>
      </c>
      <c r="O31" s="52">
        <v>70</v>
      </c>
      <c r="P31" s="55">
        <v>0</v>
      </c>
      <c r="Q31" s="52">
        <v>0</v>
      </c>
      <c r="R31" s="55">
        <v>0</v>
      </c>
      <c r="S31" s="49">
        <f t="shared" si="6"/>
        <v>40</v>
      </c>
      <c r="T31" s="49">
        <v>40</v>
      </c>
      <c r="U31" s="49">
        <v>20</v>
      </c>
      <c r="V31" s="53">
        <v>0</v>
      </c>
      <c r="W31" s="57" t="s">
        <v>79</v>
      </c>
      <c r="X31" s="50" t="s">
        <v>94</v>
      </c>
    </row>
    <row r="32" s="28" customFormat="1" ht="75" spans="1:24">
      <c r="A32" s="49">
        <v>24</v>
      </c>
      <c r="B32" s="50" t="s">
        <v>30</v>
      </c>
      <c r="C32" s="50" t="s">
        <v>125</v>
      </c>
      <c r="D32" s="49" t="s">
        <v>126</v>
      </c>
      <c r="E32" s="50" t="s">
        <v>33</v>
      </c>
      <c r="F32" s="49" t="s">
        <v>89</v>
      </c>
      <c r="G32" s="49" t="s">
        <v>89</v>
      </c>
      <c r="H32" s="50" t="s">
        <v>90</v>
      </c>
      <c r="I32" s="50" t="s">
        <v>127</v>
      </c>
      <c r="J32" s="56" t="s">
        <v>128</v>
      </c>
      <c r="K32" s="50" t="s">
        <v>93</v>
      </c>
      <c r="L32" s="51">
        <v>150</v>
      </c>
      <c r="M32" s="49"/>
      <c r="N32" s="49">
        <f t="shared" si="5"/>
        <v>70</v>
      </c>
      <c r="O32" s="52">
        <v>70</v>
      </c>
      <c r="P32" s="55">
        <v>0</v>
      </c>
      <c r="Q32" s="52">
        <v>0</v>
      </c>
      <c r="R32" s="55">
        <v>0</v>
      </c>
      <c r="S32" s="49">
        <f t="shared" si="6"/>
        <v>40</v>
      </c>
      <c r="T32" s="49">
        <v>40</v>
      </c>
      <c r="U32" s="49">
        <v>20</v>
      </c>
      <c r="V32" s="53">
        <v>0</v>
      </c>
      <c r="W32" s="57" t="s">
        <v>79</v>
      </c>
      <c r="X32" s="50" t="s">
        <v>94</v>
      </c>
    </row>
    <row r="33" s="28" customFormat="1" ht="75" spans="1:24">
      <c r="A33" s="49">
        <v>25</v>
      </c>
      <c r="B33" s="50" t="s">
        <v>30</v>
      </c>
      <c r="C33" s="50" t="s">
        <v>129</v>
      </c>
      <c r="D33" s="49" t="s">
        <v>130</v>
      </c>
      <c r="E33" s="50" t="s">
        <v>33</v>
      </c>
      <c r="F33" s="49" t="s">
        <v>89</v>
      </c>
      <c r="G33" s="49" t="s">
        <v>89</v>
      </c>
      <c r="H33" s="50" t="s">
        <v>90</v>
      </c>
      <c r="I33" s="50" t="s">
        <v>131</v>
      </c>
      <c r="J33" s="50" t="s">
        <v>132</v>
      </c>
      <c r="K33" s="50" t="s">
        <v>93</v>
      </c>
      <c r="L33" s="51">
        <v>150</v>
      </c>
      <c r="M33" s="49"/>
      <c r="N33" s="49">
        <f t="shared" si="5"/>
        <v>70</v>
      </c>
      <c r="O33" s="52">
        <v>70</v>
      </c>
      <c r="P33" s="55">
        <v>0</v>
      </c>
      <c r="Q33" s="52">
        <v>0</v>
      </c>
      <c r="R33" s="55">
        <v>0</v>
      </c>
      <c r="S33" s="49">
        <f t="shared" si="6"/>
        <v>40</v>
      </c>
      <c r="T33" s="49">
        <v>40</v>
      </c>
      <c r="U33" s="49">
        <f>19.41+20.59-20.59</f>
        <v>19.41</v>
      </c>
      <c r="V33" s="53">
        <v>0</v>
      </c>
      <c r="W33" s="57" t="s">
        <v>79</v>
      </c>
      <c r="X33" s="50" t="s">
        <v>94</v>
      </c>
    </row>
    <row r="34" s="28" customFormat="1" ht="75" spans="1:24">
      <c r="A34" s="49">
        <v>26</v>
      </c>
      <c r="B34" s="50" t="s">
        <v>30</v>
      </c>
      <c r="C34" s="50" t="s">
        <v>133</v>
      </c>
      <c r="D34" s="49" t="s">
        <v>134</v>
      </c>
      <c r="E34" s="50" t="s">
        <v>33</v>
      </c>
      <c r="F34" s="49" t="s">
        <v>89</v>
      </c>
      <c r="G34" s="49" t="s">
        <v>89</v>
      </c>
      <c r="H34" s="50" t="s">
        <v>90</v>
      </c>
      <c r="I34" s="50" t="s">
        <v>135</v>
      </c>
      <c r="J34" s="56" t="s">
        <v>136</v>
      </c>
      <c r="K34" s="50" t="s">
        <v>93</v>
      </c>
      <c r="L34" s="51">
        <v>150</v>
      </c>
      <c r="M34" s="49"/>
      <c r="N34" s="49">
        <f t="shared" si="5"/>
        <v>70</v>
      </c>
      <c r="O34" s="52">
        <v>70</v>
      </c>
      <c r="P34" s="55">
        <v>0</v>
      </c>
      <c r="Q34" s="52">
        <v>0</v>
      </c>
      <c r="R34" s="55">
        <v>0</v>
      </c>
      <c r="S34" s="49">
        <f t="shared" si="6"/>
        <v>40</v>
      </c>
      <c r="T34" s="49">
        <v>40</v>
      </c>
      <c r="U34" s="49">
        <f>10+1.26-1.26</f>
        <v>10</v>
      </c>
      <c r="V34" s="53">
        <v>0</v>
      </c>
      <c r="W34" s="57" t="s">
        <v>79</v>
      </c>
      <c r="X34" s="50" t="s">
        <v>94</v>
      </c>
    </row>
    <row r="35" s="28" customFormat="1" ht="75" spans="1:24">
      <c r="A35" s="49">
        <v>27</v>
      </c>
      <c r="B35" s="50" t="s">
        <v>30</v>
      </c>
      <c r="C35" s="50" t="s">
        <v>137</v>
      </c>
      <c r="D35" s="49" t="s">
        <v>138</v>
      </c>
      <c r="E35" s="50" t="s">
        <v>33</v>
      </c>
      <c r="F35" s="49" t="s">
        <v>89</v>
      </c>
      <c r="G35" s="49" t="s">
        <v>89</v>
      </c>
      <c r="H35" s="50" t="s">
        <v>90</v>
      </c>
      <c r="I35" s="50" t="s">
        <v>135</v>
      </c>
      <c r="J35" s="56" t="s">
        <v>136</v>
      </c>
      <c r="K35" s="50" t="s">
        <v>93</v>
      </c>
      <c r="L35" s="51">
        <v>150</v>
      </c>
      <c r="M35" s="49"/>
      <c r="N35" s="49">
        <f t="shared" si="5"/>
        <v>70</v>
      </c>
      <c r="O35" s="52">
        <v>70</v>
      </c>
      <c r="P35" s="55">
        <v>0</v>
      </c>
      <c r="Q35" s="52">
        <v>0</v>
      </c>
      <c r="R35" s="55">
        <v>0</v>
      </c>
      <c r="S35" s="49">
        <f t="shared" si="6"/>
        <v>40</v>
      </c>
      <c r="T35" s="49">
        <v>40</v>
      </c>
      <c r="U35" s="49">
        <v>10</v>
      </c>
      <c r="V35" s="53">
        <v>0</v>
      </c>
      <c r="W35" s="57" t="s">
        <v>79</v>
      </c>
      <c r="X35" s="50" t="s">
        <v>94</v>
      </c>
    </row>
    <row r="36" s="28" customFormat="1" ht="75" spans="1:24">
      <c r="A36" s="49">
        <v>28</v>
      </c>
      <c r="B36" s="50" t="s">
        <v>30</v>
      </c>
      <c r="C36" s="50" t="s">
        <v>139</v>
      </c>
      <c r="D36" s="49" t="s">
        <v>140</v>
      </c>
      <c r="E36" s="50" t="s">
        <v>33</v>
      </c>
      <c r="F36" s="49" t="s">
        <v>89</v>
      </c>
      <c r="G36" s="49" t="s">
        <v>89</v>
      </c>
      <c r="H36" s="50" t="s">
        <v>90</v>
      </c>
      <c r="I36" s="50" t="s">
        <v>141</v>
      </c>
      <c r="J36" s="56" t="s">
        <v>142</v>
      </c>
      <c r="K36" s="50" t="s">
        <v>93</v>
      </c>
      <c r="L36" s="51">
        <v>150</v>
      </c>
      <c r="M36" s="49"/>
      <c r="N36" s="49">
        <f t="shared" si="5"/>
        <v>70</v>
      </c>
      <c r="O36" s="52">
        <v>70</v>
      </c>
      <c r="P36" s="55">
        <v>0</v>
      </c>
      <c r="Q36" s="52">
        <v>0</v>
      </c>
      <c r="R36" s="55">
        <v>0</v>
      </c>
      <c r="S36" s="49">
        <f t="shared" si="6"/>
        <v>40</v>
      </c>
      <c r="T36" s="49">
        <v>40</v>
      </c>
      <c r="U36" s="49">
        <v>10</v>
      </c>
      <c r="V36" s="53">
        <v>0</v>
      </c>
      <c r="W36" s="57" t="s">
        <v>79</v>
      </c>
      <c r="X36" s="50" t="s">
        <v>94</v>
      </c>
    </row>
    <row r="37" s="28" customFormat="1" ht="37.5" spans="1:24">
      <c r="A37" s="49">
        <v>29</v>
      </c>
      <c r="B37" s="50" t="s">
        <v>30</v>
      </c>
      <c r="C37" s="54" t="s">
        <v>143</v>
      </c>
      <c r="D37" s="49" t="s">
        <v>144</v>
      </c>
      <c r="E37" s="50" t="s">
        <v>145</v>
      </c>
      <c r="F37" s="49" t="s">
        <v>146</v>
      </c>
      <c r="G37" s="49" t="s">
        <v>146</v>
      </c>
      <c r="H37" s="50" t="s">
        <v>36</v>
      </c>
      <c r="I37" s="50" t="s">
        <v>37</v>
      </c>
      <c r="J37" s="50" t="s">
        <v>38</v>
      </c>
      <c r="K37" s="50" t="s">
        <v>145</v>
      </c>
      <c r="L37" s="51">
        <v>130</v>
      </c>
      <c r="M37" s="49"/>
      <c r="N37" s="49">
        <f t="shared" si="5"/>
        <v>23</v>
      </c>
      <c r="O37" s="52">
        <v>23</v>
      </c>
      <c r="P37" s="52">
        <v>0</v>
      </c>
      <c r="Q37" s="52">
        <v>0</v>
      </c>
      <c r="R37" s="52">
        <v>0</v>
      </c>
      <c r="S37" s="49">
        <f t="shared" si="6"/>
        <v>107</v>
      </c>
      <c r="T37" s="49">
        <v>107</v>
      </c>
      <c r="U37" s="49">
        <v>0</v>
      </c>
      <c r="V37" s="53">
        <v>0</v>
      </c>
      <c r="W37" s="57" t="s">
        <v>79</v>
      </c>
      <c r="X37" s="50" t="s">
        <v>147</v>
      </c>
    </row>
    <row r="38" s="28" customFormat="1" ht="56.25" spans="1:24">
      <c r="A38" s="49">
        <v>30</v>
      </c>
      <c r="B38" s="50" t="s">
        <v>30</v>
      </c>
      <c r="C38" s="49" t="s">
        <v>148</v>
      </c>
      <c r="D38" s="49" t="s">
        <v>149</v>
      </c>
      <c r="E38" s="50" t="s">
        <v>150</v>
      </c>
      <c r="F38" s="49" t="s">
        <v>151</v>
      </c>
      <c r="G38" s="49" t="s">
        <v>152</v>
      </c>
      <c r="H38" s="50" t="s">
        <v>36</v>
      </c>
      <c r="I38" s="50" t="s">
        <v>37</v>
      </c>
      <c r="J38" s="50" t="s">
        <v>38</v>
      </c>
      <c r="K38" s="54" t="s">
        <v>153</v>
      </c>
      <c r="L38" s="51">
        <v>400</v>
      </c>
      <c r="M38" s="49"/>
      <c r="N38" s="49">
        <f t="shared" si="5"/>
        <v>400</v>
      </c>
      <c r="O38" s="49">
        <v>400</v>
      </c>
      <c r="P38" s="53">
        <v>0</v>
      </c>
      <c r="Q38" s="52">
        <v>0</v>
      </c>
      <c r="R38" s="53">
        <v>0</v>
      </c>
      <c r="S38" s="49">
        <f t="shared" si="6"/>
        <v>0</v>
      </c>
      <c r="T38" s="49"/>
      <c r="U38" s="53">
        <v>0</v>
      </c>
      <c r="V38" s="49">
        <v>0</v>
      </c>
      <c r="W38" s="57" t="s">
        <v>79</v>
      </c>
      <c r="X38" s="49" t="s">
        <v>61</v>
      </c>
    </row>
    <row r="39" s="28" customFormat="1" ht="56.25" spans="1:24">
      <c r="A39" s="49">
        <v>31</v>
      </c>
      <c r="B39" s="50" t="s">
        <v>30</v>
      </c>
      <c r="C39" s="49" t="s">
        <v>154</v>
      </c>
      <c r="D39" s="49" t="s">
        <v>155</v>
      </c>
      <c r="E39" s="50" t="s">
        <v>150</v>
      </c>
      <c r="F39" s="49" t="s">
        <v>151</v>
      </c>
      <c r="G39" s="49" t="s">
        <v>152</v>
      </c>
      <c r="H39" s="50" t="s">
        <v>36</v>
      </c>
      <c r="I39" s="50" t="s">
        <v>37</v>
      </c>
      <c r="J39" s="50" t="s">
        <v>38</v>
      </c>
      <c r="K39" s="54" t="s">
        <v>153</v>
      </c>
      <c r="L39" s="51">
        <v>400</v>
      </c>
      <c r="M39" s="49"/>
      <c r="N39" s="49">
        <f t="shared" si="5"/>
        <v>400</v>
      </c>
      <c r="O39" s="49">
        <v>400</v>
      </c>
      <c r="P39" s="53">
        <v>0</v>
      </c>
      <c r="Q39" s="52">
        <v>0</v>
      </c>
      <c r="R39" s="53">
        <v>0</v>
      </c>
      <c r="S39" s="49">
        <f t="shared" si="6"/>
        <v>0</v>
      </c>
      <c r="T39" s="49"/>
      <c r="U39" s="53">
        <v>0</v>
      </c>
      <c r="V39" s="49">
        <v>0</v>
      </c>
      <c r="W39" s="57" t="s">
        <v>79</v>
      </c>
      <c r="X39" s="49" t="s">
        <v>61</v>
      </c>
    </row>
    <row r="40" s="28" customFormat="1" ht="56.25" spans="1:24">
      <c r="A40" s="49">
        <v>32</v>
      </c>
      <c r="B40" s="49" t="s">
        <v>156</v>
      </c>
      <c r="C40" s="49" t="s">
        <v>157</v>
      </c>
      <c r="D40" s="49" t="s">
        <v>158</v>
      </c>
      <c r="E40" s="50" t="s">
        <v>33</v>
      </c>
      <c r="F40" s="49" t="s">
        <v>159</v>
      </c>
      <c r="G40" s="49" t="s">
        <v>160</v>
      </c>
      <c r="H40" s="56" t="s">
        <v>36</v>
      </c>
      <c r="I40" s="50" t="s">
        <v>113</v>
      </c>
      <c r="J40" s="50" t="s">
        <v>38</v>
      </c>
      <c r="K40" s="50" t="s">
        <v>161</v>
      </c>
      <c r="L40" s="51">
        <v>400</v>
      </c>
      <c r="M40" s="49"/>
      <c r="N40" s="49">
        <f t="shared" si="5"/>
        <v>0</v>
      </c>
      <c r="O40" s="53">
        <v>0</v>
      </c>
      <c r="P40" s="53">
        <v>0</v>
      </c>
      <c r="Q40" s="52">
        <v>0</v>
      </c>
      <c r="R40" s="53">
        <v>0</v>
      </c>
      <c r="S40" s="49">
        <f t="shared" si="6"/>
        <v>203.9</v>
      </c>
      <c r="T40" s="49">
        <v>203.9</v>
      </c>
      <c r="U40" s="53">
        <v>0</v>
      </c>
      <c r="V40" s="49">
        <v>0</v>
      </c>
      <c r="W40" s="57" t="s">
        <v>79</v>
      </c>
      <c r="X40" s="50" t="s">
        <v>162</v>
      </c>
    </row>
    <row r="41" s="28" customFormat="1" ht="37.5" spans="1:24">
      <c r="A41" s="49">
        <v>33</v>
      </c>
      <c r="B41" s="50" t="s">
        <v>30</v>
      </c>
      <c r="C41" s="54" t="s">
        <v>163</v>
      </c>
      <c r="D41" s="90" t="s">
        <v>164</v>
      </c>
      <c r="E41" s="50" t="s">
        <v>46</v>
      </c>
      <c r="F41" s="49" t="s">
        <v>59</v>
      </c>
      <c r="G41" s="49" t="s">
        <v>59</v>
      </c>
      <c r="H41" s="50" t="s">
        <v>165</v>
      </c>
      <c r="I41" s="50" t="s">
        <v>37</v>
      </c>
      <c r="J41" s="50" t="s">
        <v>38</v>
      </c>
      <c r="K41" s="50" t="s">
        <v>166</v>
      </c>
      <c r="L41" s="51">
        <v>56</v>
      </c>
      <c r="M41" s="49"/>
      <c r="N41" s="49">
        <f t="shared" si="5"/>
        <v>0</v>
      </c>
      <c r="O41" s="52">
        <v>0</v>
      </c>
      <c r="P41" s="52">
        <v>0</v>
      </c>
      <c r="Q41" s="52">
        <v>0</v>
      </c>
      <c r="R41" s="52">
        <v>0</v>
      </c>
      <c r="S41" s="49">
        <f t="shared" si="6"/>
        <v>56</v>
      </c>
      <c r="T41" s="49">
        <v>56</v>
      </c>
      <c r="U41" s="53">
        <v>0</v>
      </c>
      <c r="V41" s="49">
        <v>0</v>
      </c>
      <c r="W41" s="57" t="s">
        <v>79</v>
      </c>
      <c r="X41" s="58" t="s">
        <v>167</v>
      </c>
    </row>
    <row r="42" s="28" customFormat="1" ht="56.25" spans="1:24">
      <c r="A42" s="49">
        <v>34</v>
      </c>
      <c r="B42" s="50" t="s">
        <v>30</v>
      </c>
      <c r="C42" s="54" t="s">
        <v>168</v>
      </c>
      <c r="D42" s="90" t="s">
        <v>169</v>
      </c>
      <c r="E42" s="50" t="s">
        <v>33</v>
      </c>
      <c r="F42" s="49" t="s">
        <v>159</v>
      </c>
      <c r="G42" s="49" t="s">
        <v>160</v>
      </c>
      <c r="H42" s="56" t="s">
        <v>36</v>
      </c>
      <c r="I42" s="50" t="s">
        <v>37</v>
      </c>
      <c r="J42" s="50" t="s">
        <v>38</v>
      </c>
      <c r="K42" s="50" t="s">
        <v>170</v>
      </c>
      <c r="L42" s="51">
        <v>200</v>
      </c>
      <c r="M42" s="49"/>
      <c r="N42" s="49">
        <f t="shared" si="5"/>
        <v>0</v>
      </c>
      <c r="O42" s="53">
        <v>0</v>
      </c>
      <c r="P42" s="53">
        <v>0</v>
      </c>
      <c r="Q42" s="52">
        <v>0</v>
      </c>
      <c r="R42" s="53">
        <v>0</v>
      </c>
      <c r="S42" s="49">
        <f t="shared" si="6"/>
        <v>200</v>
      </c>
      <c r="T42" s="49">
        <v>200</v>
      </c>
      <c r="U42" s="49">
        <v>0</v>
      </c>
      <c r="V42" s="49">
        <v>0</v>
      </c>
      <c r="W42" s="57" t="s">
        <v>79</v>
      </c>
      <c r="X42" s="58" t="s">
        <v>171</v>
      </c>
    </row>
    <row r="43" s="28" customFormat="1" ht="75" spans="1:24">
      <c r="A43" s="59">
        <v>35</v>
      </c>
      <c r="B43" s="60" t="s">
        <v>172</v>
      </c>
      <c r="C43" s="60" t="s">
        <v>173</v>
      </c>
      <c r="D43" s="91" t="s">
        <v>174</v>
      </c>
      <c r="E43" s="60" t="s">
        <v>33</v>
      </c>
      <c r="F43" s="59" t="s">
        <v>175</v>
      </c>
      <c r="G43" s="59" t="s">
        <v>176</v>
      </c>
      <c r="H43" s="61" t="s">
        <v>177</v>
      </c>
      <c r="I43" s="62" t="s">
        <v>178</v>
      </c>
      <c r="J43" s="60" t="s">
        <v>179</v>
      </c>
      <c r="K43" s="50" t="s">
        <v>180</v>
      </c>
      <c r="L43" s="61">
        <v>300</v>
      </c>
      <c r="M43" s="49"/>
      <c r="N43" s="59">
        <f t="shared" si="5"/>
        <v>0</v>
      </c>
      <c r="O43" s="53">
        <v>0</v>
      </c>
      <c r="P43" s="53">
        <v>0</v>
      </c>
      <c r="Q43" s="63">
        <v>0</v>
      </c>
      <c r="R43" s="64">
        <v>0</v>
      </c>
      <c r="S43" s="59">
        <f t="shared" si="6"/>
        <v>300</v>
      </c>
      <c r="T43" s="49">
        <v>300</v>
      </c>
      <c r="U43" s="49">
        <v>0</v>
      </c>
      <c r="V43" s="53">
        <v>0</v>
      </c>
      <c r="W43" s="57" t="s">
        <v>79</v>
      </c>
      <c r="X43" s="49" t="s">
        <v>181</v>
      </c>
    </row>
    <row r="44" s="28" customFormat="1" ht="75" spans="1:24">
      <c r="A44" s="65"/>
      <c r="B44" s="66"/>
      <c r="C44" s="66"/>
      <c r="D44" s="65"/>
      <c r="E44" s="66"/>
      <c r="F44" s="65"/>
      <c r="G44" s="65"/>
      <c r="H44" s="67"/>
      <c r="I44" s="67"/>
      <c r="J44" s="66"/>
      <c r="K44" s="50" t="s">
        <v>182</v>
      </c>
      <c r="L44" s="67"/>
      <c r="M44" s="49"/>
      <c r="N44" s="65"/>
      <c r="O44" s="53"/>
      <c r="P44" s="53"/>
      <c r="Q44" s="68"/>
      <c r="R44" s="69"/>
      <c r="S44" s="65"/>
      <c r="T44" s="49"/>
      <c r="U44" s="49"/>
      <c r="V44" s="53"/>
      <c r="W44" s="57"/>
      <c r="X44" s="49"/>
    </row>
    <row r="45" s="28" customFormat="1" ht="56.25" spans="1:24">
      <c r="A45" s="70"/>
      <c r="B45" s="71"/>
      <c r="C45" s="71"/>
      <c r="D45" s="70"/>
      <c r="E45" s="71"/>
      <c r="F45" s="70"/>
      <c r="G45" s="70"/>
      <c r="H45" s="72"/>
      <c r="I45" s="72"/>
      <c r="J45" s="71"/>
      <c r="K45" s="50" t="s">
        <v>183</v>
      </c>
      <c r="L45" s="72"/>
      <c r="M45" s="49"/>
      <c r="N45" s="70"/>
      <c r="O45" s="53"/>
      <c r="P45" s="53"/>
      <c r="Q45" s="73"/>
      <c r="R45" s="74"/>
      <c r="S45" s="70"/>
      <c r="T45" s="49"/>
      <c r="U45" s="49"/>
      <c r="V45" s="53"/>
      <c r="W45" s="57"/>
      <c r="X45" s="49"/>
    </row>
    <row r="46" s="28" customFormat="1" ht="58" customHeight="1" spans="1:24">
      <c r="A46" s="49">
        <v>36</v>
      </c>
      <c r="B46" s="50" t="s">
        <v>30</v>
      </c>
      <c r="C46" s="50" t="s">
        <v>184</v>
      </c>
      <c r="D46" s="90" t="s">
        <v>185</v>
      </c>
      <c r="E46" s="50" t="s">
        <v>33</v>
      </c>
      <c r="F46" s="49" t="s">
        <v>175</v>
      </c>
      <c r="G46" s="49" t="s">
        <v>186</v>
      </c>
      <c r="H46" s="50" t="s">
        <v>36</v>
      </c>
      <c r="I46" s="50" t="s">
        <v>37</v>
      </c>
      <c r="J46" s="50" t="s">
        <v>38</v>
      </c>
      <c r="K46" s="50" t="s">
        <v>187</v>
      </c>
      <c r="L46" s="51">
        <v>430</v>
      </c>
      <c r="M46" s="49"/>
      <c r="N46" s="49">
        <f t="shared" si="5"/>
        <v>0</v>
      </c>
      <c r="O46" s="52">
        <v>0</v>
      </c>
      <c r="P46" s="52">
        <v>0</v>
      </c>
      <c r="Q46" s="52">
        <v>0</v>
      </c>
      <c r="R46" s="52">
        <v>0</v>
      </c>
      <c r="S46" s="49">
        <f t="shared" si="6"/>
        <v>430</v>
      </c>
      <c r="T46" s="51">
        <v>430</v>
      </c>
      <c r="U46" s="53">
        <v>0</v>
      </c>
      <c r="V46" s="49">
        <v>0</v>
      </c>
      <c r="W46" s="57" t="s">
        <v>79</v>
      </c>
      <c r="X46" s="53" t="s">
        <v>188</v>
      </c>
    </row>
    <row r="47" s="28" customFormat="1" ht="75" spans="1:24">
      <c r="A47" s="49">
        <v>37</v>
      </c>
      <c r="B47" s="50" t="s">
        <v>30</v>
      </c>
      <c r="C47" s="50" t="s">
        <v>189</v>
      </c>
      <c r="D47" s="90" t="s">
        <v>190</v>
      </c>
      <c r="E47" s="50" t="s">
        <v>191</v>
      </c>
      <c r="F47" s="49" t="s">
        <v>192</v>
      </c>
      <c r="G47" s="49" t="s">
        <v>193</v>
      </c>
      <c r="H47" s="50" t="s">
        <v>36</v>
      </c>
      <c r="I47" s="50" t="s">
        <v>37</v>
      </c>
      <c r="J47" s="50" t="s">
        <v>194</v>
      </c>
      <c r="K47" s="50" t="s">
        <v>195</v>
      </c>
      <c r="L47" s="51">
        <v>279.1</v>
      </c>
      <c r="M47" s="49"/>
      <c r="N47" s="49">
        <f t="shared" si="5"/>
        <v>0</v>
      </c>
      <c r="O47" s="52">
        <v>0</v>
      </c>
      <c r="P47" s="52">
        <v>0</v>
      </c>
      <c r="Q47" s="52">
        <v>0</v>
      </c>
      <c r="R47" s="52">
        <v>0</v>
      </c>
      <c r="S47" s="49">
        <f t="shared" si="6"/>
        <v>0</v>
      </c>
      <c r="T47" s="51"/>
      <c r="U47" s="51">
        <v>279.1</v>
      </c>
      <c r="V47" s="49">
        <v>0</v>
      </c>
      <c r="W47" s="57" t="s">
        <v>79</v>
      </c>
      <c r="X47" s="53" t="s">
        <v>196</v>
      </c>
    </row>
    <row r="48" s="28" customFormat="1" ht="66" customHeight="1" spans="1:24">
      <c r="A48" s="49">
        <v>38</v>
      </c>
      <c r="B48" s="50" t="s">
        <v>30</v>
      </c>
      <c r="C48" s="54" t="s">
        <v>197</v>
      </c>
      <c r="D48" s="49" t="s">
        <v>198</v>
      </c>
      <c r="E48" s="50" t="s">
        <v>33</v>
      </c>
      <c r="F48" s="49" t="s">
        <v>159</v>
      </c>
      <c r="G48" s="49" t="s">
        <v>160</v>
      </c>
      <c r="H48" s="50" t="s">
        <v>36</v>
      </c>
      <c r="I48" s="50" t="s">
        <v>37</v>
      </c>
      <c r="J48" s="50" t="s">
        <v>38</v>
      </c>
      <c r="K48" s="50" t="s">
        <v>199</v>
      </c>
      <c r="L48" s="51">
        <v>400</v>
      </c>
      <c r="M48" s="49"/>
      <c r="N48" s="49">
        <f t="shared" si="5"/>
        <v>0</v>
      </c>
      <c r="O48" s="52">
        <v>0</v>
      </c>
      <c r="P48" s="52">
        <v>0</v>
      </c>
      <c r="Q48" s="52">
        <v>0</v>
      </c>
      <c r="R48" s="52">
        <v>0</v>
      </c>
      <c r="S48" s="49">
        <v>400</v>
      </c>
      <c r="T48" s="50">
        <v>400</v>
      </c>
      <c r="U48" s="53">
        <v>0</v>
      </c>
      <c r="V48" s="49">
        <v>0</v>
      </c>
      <c r="W48" s="57" t="s">
        <v>79</v>
      </c>
      <c r="X48" s="49" t="s">
        <v>200</v>
      </c>
    </row>
    <row r="49" s="28" customFormat="1" ht="66" customHeight="1" spans="1:24">
      <c r="A49" s="49">
        <v>39</v>
      </c>
      <c r="B49" s="50" t="s">
        <v>30</v>
      </c>
      <c r="C49" s="54" t="s">
        <v>201</v>
      </c>
      <c r="D49" s="49" t="s">
        <v>202</v>
      </c>
      <c r="E49" s="50" t="s">
        <v>33</v>
      </c>
      <c r="F49" s="49" t="s">
        <v>159</v>
      </c>
      <c r="G49" s="49" t="s">
        <v>160</v>
      </c>
      <c r="H49" s="50" t="s">
        <v>36</v>
      </c>
      <c r="I49" s="50" t="s">
        <v>37</v>
      </c>
      <c r="J49" s="50" t="s">
        <v>38</v>
      </c>
      <c r="K49" s="50" t="s">
        <v>199</v>
      </c>
      <c r="L49" s="49">
        <v>445</v>
      </c>
      <c r="M49" s="49"/>
      <c r="N49" s="49">
        <f t="shared" si="5"/>
        <v>0</v>
      </c>
      <c r="O49" s="52">
        <v>0</v>
      </c>
      <c r="P49" s="52">
        <v>0</v>
      </c>
      <c r="Q49" s="52">
        <v>0</v>
      </c>
      <c r="R49" s="52">
        <v>0</v>
      </c>
      <c r="S49" s="49">
        <v>445</v>
      </c>
      <c r="T49" s="49">
        <v>445</v>
      </c>
      <c r="U49" s="53">
        <v>0</v>
      </c>
      <c r="V49" s="49">
        <v>0</v>
      </c>
      <c r="W49" s="57" t="s">
        <v>79</v>
      </c>
      <c r="X49" s="49" t="s">
        <v>200</v>
      </c>
    </row>
    <row r="50" s="28" customFormat="1" ht="66" customHeight="1" spans="1:24">
      <c r="A50" s="49">
        <v>40</v>
      </c>
      <c r="B50" s="50" t="s">
        <v>30</v>
      </c>
      <c r="C50" s="54" t="s">
        <v>203</v>
      </c>
      <c r="D50" s="49" t="s">
        <v>204</v>
      </c>
      <c r="E50" s="50" t="s">
        <v>33</v>
      </c>
      <c r="F50" s="49" t="s">
        <v>159</v>
      </c>
      <c r="G50" s="49" t="s">
        <v>160</v>
      </c>
      <c r="H50" s="50" t="s">
        <v>36</v>
      </c>
      <c r="I50" s="50" t="s">
        <v>37</v>
      </c>
      <c r="J50" s="50" t="s">
        <v>38</v>
      </c>
      <c r="K50" s="50" t="s">
        <v>199</v>
      </c>
      <c r="L50" s="49">
        <v>300</v>
      </c>
      <c r="M50" s="49"/>
      <c r="N50" s="49">
        <f t="shared" si="5"/>
        <v>0</v>
      </c>
      <c r="O50" s="52">
        <v>0</v>
      </c>
      <c r="P50" s="52">
        <v>0</v>
      </c>
      <c r="Q50" s="52">
        <v>0</v>
      </c>
      <c r="R50" s="52">
        <v>0</v>
      </c>
      <c r="S50" s="49">
        <v>300</v>
      </c>
      <c r="T50" s="49">
        <v>300</v>
      </c>
      <c r="U50" s="53">
        <v>0</v>
      </c>
      <c r="V50" s="49">
        <v>0</v>
      </c>
      <c r="W50" s="57" t="s">
        <v>79</v>
      </c>
      <c r="X50" s="49" t="s">
        <v>200</v>
      </c>
    </row>
    <row r="51" s="28" customFormat="1" ht="66" customHeight="1" spans="1:24">
      <c r="A51" s="49">
        <v>41</v>
      </c>
      <c r="B51" s="50" t="s">
        <v>30</v>
      </c>
      <c r="C51" s="54" t="s">
        <v>205</v>
      </c>
      <c r="D51" s="49" t="s">
        <v>206</v>
      </c>
      <c r="E51" s="50" t="s">
        <v>33</v>
      </c>
      <c r="F51" s="49" t="s">
        <v>159</v>
      </c>
      <c r="G51" s="49" t="s">
        <v>160</v>
      </c>
      <c r="H51" s="50" t="s">
        <v>36</v>
      </c>
      <c r="I51" s="50" t="s">
        <v>37</v>
      </c>
      <c r="J51" s="50" t="s">
        <v>38</v>
      </c>
      <c r="K51" s="50" t="s">
        <v>199</v>
      </c>
      <c r="L51" s="49">
        <v>200</v>
      </c>
      <c r="M51" s="49"/>
      <c r="N51" s="49">
        <f t="shared" si="5"/>
        <v>0</v>
      </c>
      <c r="O51" s="52">
        <v>0</v>
      </c>
      <c r="P51" s="52">
        <v>0</v>
      </c>
      <c r="Q51" s="52">
        <v>0</v>
      </c>
      <c r="R51" s="52">
        <v>0</v>
      </c>
      <c r="S51" s="49">
        <v>200</v>
      </c>
      <c r="T51" s="49">
        <v>466</v>
      </c>
      <c r="U51" s="53">
        <v>0</v>
      </c>
      <c r="V51" s="49">
        <v>0</v>
      </c>
      <c r="W51" s="57" t="s">
        <v>79</v>
      </c>
      <c r="X51" s="49" t="s">
        <v>200</v>
      </c>
    </row>
    <row r="52" s="28" customFormat="1" ht="66" customHeight="1" spans="1:24">
      <c r="A52" s="49">
        <v>42</v>
      </c>
      <c r="B52" s="50" t="s">
        <v>30</v>
      </c>
      <c r="C52" s="54" t="s">
        <v>207</v>
      </c>
      <c r="D52" s="49" t="s">
        <v>208</v>
      </c>
      <c r="E52" s="50" t="s">
        <v>33</v>
      </c>
      <c r="F52" s="49" t="s">
        <v>159</v>
      </c>
      <c r="G52" s="49" t="s">
        <v>160</v>
      </c>
      <c r="H52" s="50" t="s">
        <v>36</v>
      </c>
      <c r="I52" s="50" t="s">
        <v>37</v>
      </c>
      <c r="J52" s="50" t="s">
        <v>38</v>
      </c>
      <c r="K52" s="50" t="s">
        <v>199</v>
      </c>
      <c r="L52" s="49">
        <v>466</v>
      </c>
      <c r="M52" s="49"/>
      <c r="N52" s="49">
        <f t="shared" si="5"/>
        <v>0</v>
      </c>
      <c r="O52" s="52">
        <v>0</v>
      </c>
      <c r="P52" s="52">
        <v>0</v>
      </c>
      <c r="Q52" s="52">
        <v>0</v>
      </c>
      <c r="R52" s="52">
        <v>0</v>
      </c>
      <c r="S52" s="49">
        <v>466</v>
      </c>
      <c r="T52" s="49">
        <v>200</v>
      </c>
      <c r="U52" s="53">
        <v>0</v>
      </c>
      <c r="V52" s="49">
        <v>0</v>
      </c>
      <c r="W52" s="57" t="s">
        <v>79</v>
      </c>
      <c r="X52" s="49" t="s">
        <v>200</v>
      </c>
    </row>
    <row r="53" s="28" customFormat="1" ht="56.25" spans="1:24">
      <c r="A53" s="49">
        <v>43</v>
      </c>
      <c r="B53" s="50" t="s">
        <v>30</v>
      </c>
      <c r="C53" s="54" t="s">
        <v>209</v>
      </c>
      <c r="D53" s="92" t="s">
        <v>210</v>
      </c>
      <c r="E53" s="53" t="s">
        <v>211</v>
      </c>
      <c r="F53" s="49" t="s">
        <v>212</v>
      </c>
      <c r="G53" s="49" t="s">
        <v>159</v>
      </c>
      <c r="H53" s="50" t="s">
        <v>213</v>
      </c>
      <c r="I53" s="50" t="s">
        <v>37</v>
      </c>
      <c r="J53" s="75" t="s">
        <v>214</v>
      </c>
      <c r="K53" s="50" t="s">
        <v>215</v>
      </c>
      <c r="L53" s="76">
        <v>300</v>
      </c>
      <c r="M53" s="49"/>
      <c r="N53" s="49">
        <f t="shared" si="5"/>
        <v>70</v>
      </c>
      <c r="O53" s="52">
        <v>70</v>
      </c>
      <c r="P53" s="55">
        <v>0</v>
      </c>
      <c r="Q53" s="52">
        <v>0</v>
      </c>
      <c r="R53" s="55">
        <v>0</v>
      </c>
      <c r="S53" s="49">
        <f>+SUM(T53)</f>
        <v>230</v>
      </c>
      <c r="T53" s="50">
        <v>230</v>
      </c>
      <c r="U53" s="53">
        <v>0</v>
      </c>
      <c r="V53" s="49">
        <v>0</v>
      </c>
      <c r="W53" s="57" t="s">
        <v>79</v>
      </c>
      <c r="X53" s="53" t="s">
        <v>216</v>
      </c>
    </row>
    <row r="54" s="28" customFormat="1" ht="56.25" spans="1:24">
      <c r="A54" s="59">
        <v>44</v>
      </c>
      <c r="B54" s="60" t="s">
        <v>106</v>
      </c>
      <c r="C54" s="77" t="s">
        <v>217</v>
      </c>
      <c r="D54" s="59" t="s">
        <v>218</v>
      </c>
      <c r="E54" s="78" t="s">
        <v>219</v>
      </c>
      <c r="F54" s="59" t="s">
        <v>220</v>
      </c>
      <c r="G54" s="59" t="s">
        <v>221</v>
      </c>
      <c r="H54" s="50" t="s">
        <v>36</v>
      </c>
      <c r="I54" s="50" t="s">
        <v>105</v>
      </c>
      <c r="J54" s="79" t="s">
        <v>222</v>
      </c>
      <c r="K54" s="50" t="s">
        <v>223</v>
      </c>
      <c r="L54" s="76">
        <v>449</v>
      </c>
      <c r="M54" s="49">
        <v>419</v>
      </c>
      <c r="N54" s="59">
        <f t="shared" si="5"/>
        <v>30</v>
      </c>
      <c r="O54" s="49">
        <v>30</v>
      </c>
      <c r="P54" s="53">
        <v>0</v>
      </c>
      <c r="Q54" s="59">
        <v>0</v>
      </c>
      <c r="R54" s="64">
        <v>0</v>
      </c>
      <c r="S54" s="59">
        <f>+SUM(T54)</f>
        <v>0</v>
      </c>
      <c r="T54" s="49"/>
      <c r="U54" s="49">
        <v>0</v>
      </c>
      <c r="V54" s="53">
        <v>0</v>
      </c>
      <c r="W54" s="57" t="s">
        <v>79</v>
      </c>
      <c r="X54" s="49" t="s">
        <v>224</v>
      </c>
    </row>
    <row r="55" s="28" customFormat="1" ht="56.25" spans="1:24">
      <c r="A55" s="65"/>
      <c r="B55" s="80"/>
      <c r="C55" s="81"/>
      <c r="D55" s="65"/>
      <c r="E55" s="82"/>
      <c r="F55" s="65"/>
      <c r="G55" s="65"/>
      <c r="H55" s="54"/>
      <c r="I55" s="50"/>
      <c r="J55" s="79" t="s">
        <v>225</v>
      </c>
      <c r="K55" s="50" t="s">
        <v>226</v>
      </c>
      <c r="L55" s="76"/>
      <c r="M55" s="49"/>
      <c r="N55" s="65"/>
      <c r="O55" s="49"/>
      <c r="P55" s="53"/>
      <c r="Q55" s="65">
        <v>0</v>
      </c>
      <c r="R55" s="69"/>
      <c r="S55" s="65"/>
      <c r="T55" s="49"/>
      <c r="U55" s="49"/>
      <c r="V55" s="53"/>
      <c r="W55" s="57"/>
      <c r="X55" s="49"/>
    </row>
    <row r="56" s="28" customFormat="1" ht="56.25" spans="1:24">
      <c r="A56" s="65"/>
      <c r="B56" s="80"/>
      <c r="C56" s="81"/>
      <c r="D56" s="65"/>
      <c r="E56" s="82"/>
      <c r="F56" s="65"/>
      <c r="G56" s="65"/>
      <c r="H56" s="54"/>
      <c r="I56" s="50"/>
      <c r="J56" s="50" t="s">
        <v>227</v>
      </c>
      <c r="K56" s="50" t="s">
        <v>228</v>
      </c>
      <c r="L56" s="76"/>
      <c r="M56" s="49"/>
      <c r="N56" s="65"/>
      <c r="O56" s="49"/>
      <c r="P56" s="53"/>
      <c r="Q56" s="65">
        <v>0</v>
      </c>
      <c r="R56" s="69"/>
      <c r="S56" s="65"/>
      <c r="T56" s="49"/>
      <c r="U56" s="49"/>
      <c r="V56" s="53"/>
      <c r="W56" s="57"/>
      <c r="X56" s="49"/>
    </row>
    <row r="57" s="28" customFormat="1" ht="56.25" spans="1:24">
      <c r="A57" s="65"/>
      <c r="B57" s="80"/>
      <c r="C57" s="81"/>
      <c r="D57" s="65"/>
      <c r="E57" s="82"/>
      <c r="F57" s="65"/>
      <c r="G57" s="65"/>
      <c r="H57" s="54"/>
      <c r="I57" s="50"/>
      <c r="J57" s="50" t="s">
        <v>229</v>
      </c>
      <c r="K57" s="50" t="s">
        <v>230</v>
      </c>
      <c r="L57" s="76"/>
      <c r="M57" s="49"/>
      <c r="N57" s="65"/>
      <c r="O57" s="49"/>
      <c r="P57" s="53"/>
      <c r="Q57" s="65">
        <v>0</v>
      </c>
      <c r="R57" s="69"/>
      <c r="S57" s="65"/>
      <c r="T57" s="49"/>
      <c r="U57" s="49"/>
      <c r="V57" s="53"/>
      <c r="W57" s="57"/>
      <c r="X57" s="49"/>
    </row>
    <row r="58" s="28" customFormat="1" ht="56.25" spans="1:24">
      <c r="A58" s="65"/>
      <c r="B58" s="83"/>
      <c r="C58" s="81"/>
      <c r="D58" s="70"/>
      <c r="E58" s="82"/>
      <c r="F58" s="70"/>
      <c r="G58" s="70"/>
      <c r="H58" s="54"/>
      <c r="I58" s="50"/>
      <c r="J58" s="50" t="s">
        <v>231</v>
      </c>
      <c r="K58" s="54"/>
      <c r="L58" s="76"/>
      <c r="M58" s="49"/>
      <c r="N58" s="70"/>
      <c r="O58" s="49"/>
      <c r="P58" s="53"/>
      <c r="Q58" s="70">
        <v>0</v>
      </c>
      <c r="R58" s="74"/>
      <c r="S58" s="70"/>
      <c r="T58" s="49"/>
      <c r="U58" s="49"/>
      <c r="V58" s="53"/>
      <c r="W58" s="57"/>
      <c r="X58" s="49"/>
    </row>
    <row r="59" s="28" customFormat="1" ht="60" customHeight="1" spans="1:24">
      <c r="A59" s="65">
        <v>45</v>
      </c>
      <c r="B59" s="80" t="s">
        <v>232</v>
      </c>
      <c r="C59" s="84" t="s">
        <v>233</v>
      </c>
      <c r="D59" s="59" t="s">
        <v>234</v>
      </c>
      <c r="E59" s="78" t="s">
        <v>219</v>
      </c>
      <c r="F59" s="59" t="s">
        <v>220</v>
      </c>
      <c r="G59" s="59" t="s">
        <v>221</v>
      </c>
      <c r="H59" s="50" t="s">
        <v>36</v>
      </c>
      <c r="I59" s="50" t="s">
        <v>105</v>
      </c>
      <c r="J59" s="79" t="s">
        <v>222</v>
      </c>
      <c r="K59" s="50" t="s">
        <v>223</v>
      </c>
      <c r="L59" s="65">
        <v>490</v>
      </c>
      <c r="M59" s="65"/>
      <c r="N59" s="59">
        <v>170</v>
      </c>
      <c r="O59" s="69">
        <v>0</v>
      </c>
      <c r="P59" s="69">
        <v>0</v>
      </c>
      <c r="Q59" s="59">
        <v>0</v>
      </c>
      <c r="R59" s="65">
        <v>400</v>
      </c>
      <c r="S59" s="59">
        <v>320</v>
      </c>
      <c r="T59" s="65">
        <v>90</v>
      </c>
      <c r="U59" s="69">
        <v>0</v>
      </c>
      <c r="V59" s="69">
        <v>0</v>
      </c>
      <c r="W59" s="57" t="s">
        <v>79</v>
      </c>
      <c r="X59" s="49" t="s">
        <v>224</v>
      </c>
    </row>
    <row r="60" s="28" customFormat="1" ht="60" customHeight="1" spans="1:24">
      <c r="A60" s="65"/>
      <c r="B60" s="80"/>
      <c r="C60" s="85"/>
      <c r="D60" s="65"/>
      <c r="E60" s="82"/>
      <c r="F60" s="65"/>
      <c r="G60" s="65"/>
      <c r="H60" s="54"/>
      <c r="I60" s="50"/>
      <c r="J60" s="79" t="s">
        <v>225</v>
      </c>
      <c r="K60" s="50" t="s">
        <v>235</v>
      </c>
      <c r="L60" s="65"/>
      <c r="M60" s="65"/>
      <c r="N60" s="65">
        <f t="shared" si="5"/>
        <v>0</v>
      </c>
      <c r="O60" s="69"/>
      <c r="P60" s="69"/>
      <c r="Q60" s="65">
        <v>0</v>
      </c>
      <c r="R60" s="65"/>
      <c r="S60" s="65"/>
      <c r="T60" s="65"/>
      <c r="U60" s="69"/>
      <c r="V60" s="69"/>
      <c r="W60" s="57"/>
      <c r="X60" s="49"/>
    </row>
    <row r="61" s="28" customFormat="1" ht="60" customHeight="1" spans="1:24">
      <c r="A61" s="65"/>
      <c r="B61" s="80"/>
      <c r="C61" s="85"/>
      <c r="D61" s="65"/>
      <c r="E61" s="82"/>
      <c r="F61" s="65"/>
      <c r="G61" s="65"/>
      <c r="H61" s="54"/>
      <c r="I61" s="50"/>
      <c r="J61" s="50" t="s">
        <v>227</v>
      </c>
      <c r="K61" s="50" t="s">
        <v>236</v>
      </c>
      <c r="L61" s="65"/>
      <c r="M61" s="65"/>
      <c r="N61" s="65">
        <f t="shared" si="5"/>
        <v>0</v>
      </c>
      <c r="O61" s="69"/>
      <c r="P61" s="69"/>
      <c r="Q61" s="65">
        <v>0</v>
      </c>
      <c r="R61" s="65"/>
      <c r="S61" s="65"/>
      <c r="T61" s="65"/>
      <c r="U61" s="69"/>
      <c r="V61" s="69"/>
      <c r="W61" s="57"/>
      <c r="X61" s="49"/>
    </row>
    <row r="62" s="28" customFormat="1" ht="60" customHeight="1" spans="1:24">
      <c r="A62" s="65"/>
      <c r="B62" s="80"/>
      <c r="C62" s="85"/>
      <c r="D62" s="65"/>
      <c r="E62" s="82"/>
      <c r="F62" s="65"/>
      <c r="G62" s="65"/>
      <c r="H62" s="54"/>
      <c r="I62" s="50"/>
      <c r="J62" s="50" t="s">
        <v>229</v>
      </c>
      <c r="K62" s="50" t="s">
        <v>237</v>
      </c>
      <c r="L62" s="65"/>
      <c r="M62" s="65"/>
      <c r="N62" s="65">
        <f t="shared" si="5"/>
        <v>0</v>
      </c>
      <c r="O62" s="69"/>
      <c r="P62" s="69"/>
      <c r="Q62" s="65">
        <v>0</v>
      </c>
      <c r="R62" s="65"/>
      <c r="S62" s="65"/>
      <c r="T62" s="65"/>
      <c r="U62" s="69"/>
      <c r="V62" s="69"/>
      <c r="W62" s="57"/>
      <c r="X62" s="49"/>
    </row>
    <row r="63" s="28" customFormat="1" ht="60" customHeight="1" spans="1:24">
      <c r="A63" s="70"/>
      <c r="B63" s="83"/>
      <c r="C63" s="86"/>
      <c r="D63" s="70"/>
      <c r="E63" s="82"/>
      <c r="F63" s="70"/>
      <c r="G63" s="70"/>
      <c r="H63" s="54"/>
      <c r="I63" s="50"/>
      <c r="J63" s="50" t="s">
        <v>231</v>
      </c>
      <c r="K63" s="54"/>
      <c r="L63" s="70"/>
      <c r="M63" s="70"/>
      <c r="N63" s="70">
        <f t="shared" si="5"/>
        <v>0</v>
      </c>
      <c r="O63" s="74"/>
      <c r="P63" s="74"/>
      <c r="Q63" s="70">
        <v>0</v>
      </c>
      <c r="R63" s="70"/>
      <c r="S63" s="70"/>
      <c r="T63" s="70"/>
      <c r="U63" s="74"/>
      <c r="V63" s="74"/>
      <c r="W63" s="57"/>
      <c r="X63" s="49"/>
    </row>
    <row r="64" s="28" customFormat="1" ht="37.5" spans="1:24">
      <c r="A64" s="49">
        <v>46</v>
      </c>
      <c r="B64" s="50" t="s">
        <v>238</v>
      </c>
      <c r="C64" s="50" t="s">
        <v>239</v>
      </c>
      <c r="D64" s="92" t="s">
        <v>240</v>
      </c>
      <c r="E64" s="53" t="s">
        <v>211</v>
      </c>
      <c r="F64" s="49" t="s">
        <v>159</v>
      </c>
      <c r="G64" s="49" t="s">
        <v>160</v>
      </c>
      <c r="H64" s="50" t="s">
        <v>36</v>
      </c>
      <c r="I64" s="50" t="s">
        <v>241</v>
      </c>
      <c r="J64" s="75" t="s">
        <v>242</v>
      </c>
      <c r="K64" s="75" t="s">
        <v>243</v>
      </c>
      <c r="L64" s="76">
        <v>151</v>
      </c>
      <c r="M64" s="49"/>
      <c r="N64" s="49">
        <f t="shared" si="5"/>
        <v>0</v>
      </c>
      <c r="O64" s="52">
        <v>0</v>
      </c>
      <c r="P64" s="52">
        <v>0</v>
      </c>
      <c r="Q64" s="52">
        <v>0</v>
      </c>
      <c r="R64" s="52">
        <v>0</v>
      </c>
      <c r="S64" s="49">
        <f t="shared" ref="S64:S72" si="7">+SUM(T64)</f>
        <v>151</v>
      </c>
      <c r="T64" s="49">
        <v>151</v>
      </c>
      <c r="U64" s="55">
        <v>0</v>
      </c>
      <c r="V64" s="49">
        <v>0</v>
      </c>
      <c r="W64" s="57" t="s">
        <v>79</v>
      </c>
      <c r="X64" s="53" t="s">
        <v>244</v>
      </c>
    </row>
    <row r="65" s="28" customFormat="1" ht="56.25" spans="1:24">
      <c r="A65" s="49">
        <v>47</v>
      </c>
      <c r="B65" s="50" t="s">
        <v>245</v>
      </c>
      <c r="C65" s="54" t="s">
        <v>246</v>
      </c>
      <c r="D65" s="92" t="s">
        <v>247</v>
      </c>
      <c r="E65" s="53" t="s">
        <v>211</v>
      </c>
      <c r="F65" s="49" t="s">
        <v>159</v>
      </c>
      <c r="G65" s="49" t="s">
        <v>160</v>
      </c>
      <c r="H65" s="50" t="s">
        <v>36</v>
      </c>
      <c r="I65" s="50" t="s">
        <v>248</v>
      </c>
      <c r="J65" s="57" t="s">
        <v>249</v>
      </c>
      <c r="K65" s="49" t="s">
        <v>250</v>
      </c>
      <c r="L65" s="76">
        <v>216</v>
      </c>
      <c r="M65" s="49"/>
      <c r="N65" s="49">
        <f t="shared" si="5"/>
        <v>216</v>
      </c>
      <c r="O65" s="52">
        <v>216</v>
      </c>
      <c r="P65" s="52">
        <v>0</v>
      </c>
      <c r="Q65" s="52">
        <v>0</v>
      </c>
      <c r="R65" s="52">
        <v>0</v>
      </c>
      <c r="S65" s="49">
        <f t="shared" si="7"/>
        <v>0</v>
      </c>
      <c r="T65" s="49"/>
      <c r="U65" s="55">
        <v>0</v>
      </c>
      <c r="V65" s="49">
        <v>0</v>
      </c>
      <c r="W65" s="57" t="s">
        <v>79</v>
      </c>
      <c r="X65" s="53" t="s">
        <v>251</v>
      </c>
    </row>
    <row r="66" s="28" customFormat="1" ht="75" spans="1:24">
      <c r="A66" s="49">
        <v>48</v>
      </c>
      <c r="B66" s="50" t="s">
        <v>132</v>
      </c>
      <c r="C66" s="54" t="s">
        <v>252</v>
      </c>
      <c r="D66" s="49" t="s">
        <v>253</v>
      </c>
      <c r="E66" s="50" t="s">
        <v>191</v>
      </c>
      <c r="F66" s="49" t="s">
        <v>192</v>
      </c>
      <c r="G66" s="49" t="s">
        <v>193</v>
      </c>
      <c r="H66" s="50" t="s">
        <v>36</v>
      </c>
      <c r="I66" s="50" t="s">
        <v>131</v>
      </c>
      <c r="J66" s="49" t="s">
        <v>254</v>
      </c>
      <c r="K66" s="50" t="s">
        <v>255</v>
      </c>
      <c r="L66" s="76">
        <v>145</v>
      </c>
      <c r="M66" s="49">
        <v>100</v>
      </c>
      <c r="N66" s="49">
        <f t="shared" si="5"/>
        <v>0</v>
      </c>
      <c r="O66" s="52">
        <v>0</v>
      </c>
      <c r="P66" s="52">
        <v>0</v>
      </c>
      <c r="Q66" s="52">
        <v>0</v>
      </c>
      <c r="R66" s="52">
        <v>0</v>
      </c>
      <c r="S66" s="49">
        <f t="shared" si="7"/>
        <v>45</v>
      </c>
      <c r="T66" s="49">
        <v>45</v>
      </c>
      <c r="U66" s="53">
        <v>0</v>
      </c>
      <c r="V66" s="49">
        <v>0</v>
      </c>
      <c r="W66" s="57" t="s">
        <v>79</v>
      </c>
      <c r="X66" s="58" t="s">
        <v>256</v>
      </c>
    </row>
    <row r="67" s="28" customFormat="1" ht="75" spans="1:24">
      <c r="A67" s="49">
        <v>49</v>
      </c>
      <c r="B67" s="50" t="s">
        <v>257</v>
      </c>
      <c r="C67" s="54" t="s">
        <v>258</v>
      </c>
      <c r="D67" s="90" t="s">
        <v>259</v>
      </c>
      <c r="E67" s="49" t="s">
        <v>219</v>
      </c>
      <c r="F67" s="49" t="s">
        <v>192</v>
      </c>
      <c r="G67" s="49" t="s">
        <v>193</v>
      </c>
      <c r="H67" s="50" t="s">
        <v>36</v>
      </c>
      <c r="I67" s="50" t="s">
        <v>260</v>
      </c>
      <c r="J67" s="50" t="s">
        <v>261</v>
      </c>
      <c r="K67" s="50" t="s">
        <v>262</v>
      </c>
      <c r="L67" s="76">
        <v>138</v>
      </c>
      <c r="M67" s="49">
        <v>100</v>
      </c>
      <c r="N67" s="49">
        <f t="shared" si="5"/>
        <v>0</v>
      </c>
      <c r="O67" s="52">
        <v>0</v>
      </c>
      <c r="P67" s="52">
        <v>0</v>
      </c>
      <c r="Q67" s="52">
        <v>0</v>
      </c>
      <c r="R67" s="52">
        <v>0</v>
      </c>
      <c r="S67" s="49">
        <f t="shared" si="7"/>
        <v>38</v>
      </c>
      <c r="T67" s="49">
        <v>38</v>
      </c>
      <c r="U67" s="53">
        <v>0</v>
      </c>
      <c r="V67" s="49">
        <v>0</v>
      </c>
      <c r="W67" s="57" t="s">
        <v>79</v>
      </c>
      <c r="X67" s="87" t="s">
        <v>263</v>
      </c>
    </row>
    <row r="68" s="28" customFormat="1" ht="93.75" spans="1:24">
      <c r="A68" s="49">
        <v>50</v>
      </c>
      <c r="B68" s="50" t="s">
        <v>106</v>
      </c>
      <c r="C68" s="50" t="s">
        <v>264</v>
      </c>
      <c r="D68" s="92" t="s">
        <v>265</v>
      </c>
      <c r="E68" s="53" t="s">
        <v>211</v>
      </c>
      <c r="F68" s="49" t="s">
        <v>159</v>
      </c>
      <c r="G68" s="49" t="s">
        <v>160</v>
      </c>
      <c r="H68" s="50" t="s">
        <v>36</v>
      </c>
      <c r="I68" s="50" t="s">
        <v>105</v>
      </c>
      <c r="J68" s="75" t="s">
        <v>266</v>
      </c>
      <c r="K68" s="50" t="s">
        <v>267</v>
      </c>
      <c r="L68" s="76">
        <v>200</v>
      </c>
      <c r="M68" s="49"/>
      <c r="N68" s="49">
        <f t="shared" si="5"/>
        <v>0</v>
      </c>
      <c r="O68" s="52">
        <v>0</v>
      </c>
      <c r="P68" s="52">
        <v>0</v>
      </c>
      <c r="Q68" s="52">
        <v>0</v>
      </c>
      <c r="R68" s="52">
        <v>0</v>
      </c>
      <c r="S68" s="49">
        <f t="shared" si="7"/>
        <v>200</v>
      </c>
      <c r="T68" s="49">
        <v>200</v>
      </c>
      <c r="U68" s="53">
        <v>0</v>
      </c>
      <c r="V68" s="49">
        <v>0</v>
      </c>
      <c r="W68" s="57" t="s">
        <v>79</v>
      </c>
      <c r="X68" s="53" t="s">
        <v>244</v>
      </c>
    </row>
    <row r="69" s="28" customFormat="1" ht="75" spans="1:24">
      <c r="A69" s="49">
        <v>51</v>
      </c>
      <c r="B69" s="50" t="s">
        <v>92</v>
      </c>
      <c r="C69" s="54" t="s">
        <v>268</v>
      </c>
      <c r="D69" s="49" t="s">
        <v>269</v>
      </c>
      <c r="E69" s="50" t="s">
        <v>191</v>
      </c>
      <c r="F69" s="49" t="s">
        <v>192</v>
      </c>
      <c r="G69" s="49" t="s">
        <v>193</v>
      </c>
      <c r="H69" s="50" t="s">
        <v>36</v>
      </c>
      <c r="I69" s="50" t="s">
        <v>91</v>
      </c>
      <c r="J69" s="88" t="s">
        <v>270</v>
      </c>
      <c r="K69" s="88" t="s">
        <v>271</v>
      </c>
      <c r="L69" s="76">
        <v>230</v>
      </c>
      <c r="M69" s="49">
        <f>+L69-T69</f>
        <v>69</v>
      </c>
      <c r="N69" s="49">
        <f t="shared" si="5"/>
        <v>0</v>
      </c>
      <c r="O69" s="52">
        <v>0</v>
      </c>
      <c r="P69" s="52">
        <v>0</v>
      </c>
      <c r="Q69" s="52">
        <v>0</v>
      </c>
      <c r="R69" s="52">
        <v>0</v>
      </c>
      <c r="S69" s="49">
        <f t="shared" si="7"/>
        <v>161</v>
      </c>
      <c r="T69" s="49">
        <v>161</v>
      </c>
      <c r="U69" s="53">
        <v>0</v>
      </c>
      <c r="V69" s="49">
        <v>0</v>
      </c>
      <c r="W69" s="57" t="s">
        <v>79</v>
      </c>
      <c r="X69" s="53" t="s">
        <v>272</v>
      </c>
    </row>
    <row r="70" s="28" customFormat="1" ht="71" customHeight="1" spans="1:24">
      <c r="A70" s="49">
        <v>52</v>
      </c>
      <c r="B70" s="49" t="s">
        <v>273</v>
      </c>
      <c r="C70" s="49" t="s">
        <v>274</v>
      </c>
      <c r="D70" s="49" t="s">
        <v>275</v>
      </c>
      <c r="E70" s="49" t="s">
        <v>211</v>
      </c>
      <c r="F70" s="49" t="s">
        <v>159</v>
      </c>
      <c r="G70" s="49" t="s">
        <v>276</v>
      </c>
      <c r="H70" s="49" t="s">
        <v>277</v>
      </c>
      <c r="I70" s="49" t="s">
        <v>278</v>
      </c>
      <c r="J70" s="49" t="s">
        <v>278</v>
      </c>
      <c r="K70" s="49" t="s">
        <v>279</v>
      </c>
      <c r="L70" s="49">
        <v>156</v>
      </c>
      <c r="M70" s="53"/>
      <c r="N70" s="49">
        <f t="shared" si="5"/>
        <v>156</v>
      </c>
      <c r="O70" s="53">
        <v>0</v>
      </c>
      <c r="P70" s="52">
        <v>156</v>
      </c>
      <c r="Q70" s="52">
        <v>0</v>
      </c>
      <c r="R70" s="52">
        <v>0</v>
      </c>
      <c r="S70" s="49">
        <f t="shared" si="7"/>
        <v>0</v>
      </c>
      <c r="T70" s="49"/>
      <c r="U70" s="53">
        <v>0</v>
      </c>
      <c r="V70" s="49">
        <v>0</v>
      </c>
      <c r="W70" s="57" t="s">
        <v>79</v>
      </c>
      <c r="X70" s="49" t="s">
        <v>200</v>
      </c>
    </row>
    <row r="71" ht="143" customHeight="1" spans="1:24">
      <c r="A71" s="49">
        <v>53</v>
      </c>
      <c r="B71" s="49" t="s">
        <v>280</v>
      </c>
      <c r="C71" s="49" t="s">
        <v>281</v>
      </c>
      <c r="D71" s="49" t="s">
        <v>282</v>
      </c>
      <c r="E71" s="49" t="s">
        <v>211</v>
      </c>
      <c r="F71" s="49" t="s">
        <v>159</v>
      </c>
      <c r="G71" s="49" t="s">
        <v>160</v>
      </c>
      <c r="H71" s="49" t="s">
        <v>283</v>
      </c>
      <c r="I71" s="49" t="s">
        <v>284</v>
      </c>
      <c r="J71" s="49" t="s">
        <v>285</v>
      </c>
      <c r="K71" s="49" t="s">
        <v>286</v>
      </c>
      <c r="L71" s="49">
        <v>380</v>
      </c>
      <c r="M71" s="53"/>
      <c r="N71" s="49">
        <f t="shared" si="5"/>
        <v>380</v>
      </c>
      <c r="O71" s="55">
        <v>0</v>
      </c>
      <c r="P71" s="55">
        <v>0</v>
      </c>
      <c r="Q71" s="52">
        <v>380</v>
      </c>
      <c r="R71" s="55">
        <v>0</v>
      </c>
      <c r="S71" s="49">
        <f t="shared" si="7"/>
        <v>0</v>
      </c>
      <c r="T71" s="55">
        <v>0</v>
      </c>
      <c r="U71" s="55">
        <v>0</v>
      </c>
      <c r="V71" s="55">
        <v>0</v>
      </c>
      <c r="W71" s="57" t="s">
        <v>79</v>
      </c>
      <c r="X71" s="49" t="s">
        <v>287</v>
      </c>
    </row>
    <row r="72" ht="75" spans="1:24">
      <c r="A72" s="49">
        <v>54</v>
      </c>
      <c r="B72" s="49" t="s">
        <v>288</v>
      </c>
      <c r="C72" s="53" t="s">
        <v>289</v>
      </c>
      <c r="D72" s="49" t="s">
        <v>290</v>
      </c>
      <c r="E72" s="56" t="s">
        <v>191</v>
      </c>
      <c r="F72" s="56" t="s">
        <v>291</v>
      </c>
      <c r="G72" s="56" t="s">
        <v>292</v>
      </c>
      <c r="H72" s="53" t="s">
        <v>293</v>
      </c>
      <c r="I72" s="53" t="s">
        <v>293</v>
      </c>
      <c r="J72" s="49" t="s">
        <v>288</v>
      </c>
      <c r="K72" s="53" t="s">
        <v>294</v>
      </c>
      <c r="L72" s="52">
        <v>200</v>
      </c>
      <c r="M72" s="55"/>
      <c r="N72" s="49">
        <f t="shared" si="5"/>
        <v>0</v>
      </c>
      <c r="O72" s="55">
        <v>0</v>
      </c>
      <c r="P72" s="55">
        <v>0</v>
      </c>
      <c r="Q72" s="52">
        <v>0</v>
      </c>
      <c r="R72" s="55">
        <v>0</v>
      </c>
      <c r="S72" s="49">
        <f t="shared" si="7"/>
        <v>0</v>
      </c>
      <c r="T72" s="55">
        <v>0</v>
      </c>
      <c r="U72" s="52">
        <v>200</v>
      </c>
      <c r="V72" s="55">
        <v>0</v>
      </c>
      <c r="W72" s="57" t="s">
        <v>79</v>
      </c>
      <c r="X72" s="49" t="s">
        <v>295</v>
      </c>
    </row>
    <row r="73" ht="56.25" spans="1:24">
      <c r="A73" s="49">
        <v>55</v>
      </c>
      <c r="B73" s="50" t="s">
        <v>30</v>
      </c>
      <c r="C73" s="54" t="s">
        <v>296</v>
      </c>
      <c r="D73" s="90" t="s">
        <v>297</v>
      </c>
      <c r="E73" s="49" t="s">
        <v>211</v>
      </c>
      <c r="F73" s="49" t="s">
        <v>159</v>
      </c>
      <c r="G73" s="49" t="s">
        <v>160</v>
      </c>
      <c r="H73" s="49" t="s">
        <v>298</v>
      </c>
      <c r="I73" s="49" t="s">
        <v>299</v>
      </c>
      <c r="J73" s="49" t="s">
        <v>300</v>
      </c>
      <c r="K73" s="49" t="s">
        <v>301</v>
      </c>
      <c r="L73" s="51">
        <v>135</v>
      </c>
      <c r="M73" s="89"/>
      <c r="N73" s="49">
        <f t="shared" ref="N73:N86" si="8">+SUM(O73:R73)</f>
        <v>135</v>
      </c>
      <c r="O73" s="55">
        <v>0</v>
      </c>
      <c r="P73" s="55">
        <v>0</v>
      </c>
      <c r="Q73" s="52">
        <v>0</v>
      </c>
      <c r="R73" s="51">
        <v>135</v>
      </c>
      <c r="S73" s="49">
        <f t="shared" ref="S73:S86" si="9">+SUM(T73)</f>
        <v>0</v>
      </c>
      <c r="T73" s="55">
        <v>0</v>
      </c>
      <c r="U73" s="55">
        <v>0</v>
      </c>
      <c r="V73" s="55">
        <v>0</v>
      </c>
      <c r="W73" s="57" t="s">
        <v>79</v>
      </c>
      <c r="X73" s="49" t="s">
        <v>302</v>
      </c>
    </row>
    <row r="74" ht="70" customHeight="1" spans="1:24">
      <c r="A74" s="49">
        <v>56</v>
      </c>
      <c r="B74" s="50" t="s">
        <v>303</v>
      </c>
      <c r="C74" s="54" t="s">
        <v>304</v>
      </c>
      <c r="D74" s="90" t="s">
        <v>305</v>
      </c>
      <c r="E74" s="49" t="s">
        <v>211</v>
      </c>
      <c r="F74" s="49" t="s">
        <v>175</v>
      </c>
      <c r="G74" s="49" t="s">
        <v>176</v>
      </c>
      <c r="H74" s="49" t="s">
        <v>298</v>
      </c>
      <c r="I74" s="49" t="s">
        <v>306</v>
      </c>
      <c r="J74" s="49" t="s">
        <v>307</v>
      </c>
      <c r="K74" s="49" t="s">
        <v>308</v>
      </c>
      <c r="L74" s="51">
        <v>50</v>
      </c>
      <c r="M74" s="89"/>
      <c r="N74" s="49">
        <f t="shared" si="8"/>
        <v>50</v>
      </c>
      <c r="O74" s="55">
        <v>0</v>
      </c>
      <c r="P74" s="55">
        <v>0</v>
      </c>
      <c r="Q74" s="52">
        <v>0</v>
      </c>
      <c r="R74" s="51">
        <v>50</v>
      </c>
      <c r="S74" s="49">
        <f t="shared" si="9"/>
        <v>0</v>
      </c>
      <c r="T74" s="55">
        <v>0</v>
      </c>
      <c r="U74" s="55">
        <v>0</v>
      </c>
      <c r="V74" s="55">
        <v>0</v>
      </c>
      <c r="W74" s="57" t="s">
        <v>79</v>
      </c>
      <c r="X74" s="49" t="s">
        <v>309</v>
      </c>
    </row>
    <row r="75" ht="67" customHeight="1" spans="1:24">
      <c r="A75" s="49">
        <v>57</v>
      </c>
      <c r="B75" s="50" t="s">
        <v>92</v>
      </c>
      <c r="C75" s="54" t="s">
        <v>310</v>
      </c>
      <c r="D75" s="90" t="s">
        <v>311</v>
      </c>
      <c r="E75" s="49" t="s">
        <v>211</v>
      </c>
      <c r="F75" s="49" t="s">
        <v>175</v>
      </c>
      <c r="G75" s="49" t="s">
        <v>176</v>
      </c>
      <c r="H75" s="49" t="s">
        <v>298</v>
      </c>
      <c r="I75" s="49" t="s">
        <v>312</v>
      </c>
      <c r="J75" s="49" t="s">
        <v>313</v>
      </c>
      <c r="K75" s="49" t="s">
        <v>314</v>
      </c>
      <c r="L75" s="51">
        <v>339</v>
      </c>
      <c r="M75" s="89"/>
      <c r="N75" s="49">
        <f t="shared" si="8"/>
        <v>107</v>
      </c>
      <c r="O75" s="55">
        <v>0</v>
      </c>
      <c r="P75" s="55">
        <v>0</v>
      </c>
      <c r="Q75" s="52">
        <v>0</v>
      </c>
      <c r="R75" s="51">
        <f>292-135-50</f>
        <v>107</v>
      </c>
      <c r="S75" s="49">
        <f t="shared" si="9"/>
        <v>232</v>
      </c>
      <c r="T75" s="52">
        <f>339-107</f>
        <v>232</v>
      </c>
      <c r="U75" s="55">
        <v>0</v>
      </c>
      <c r="V75" s="55">
        <v>0</v>
      </c>
      <c r="W75" s="57" t="s">
        <v>79</v>
      </c>
      <c r="X75" s="49" t="s">
        <v>315</v>
      </c>
    </row>
    <row r="76" ht="69" customHeight="1" spans="1:24">
      <c r="A76" s="49">
        <v>58</v>
      </c>
      <c r="B76" s="50" t="s">
        <v>30</v>
      </c>
      <c r="C76" s="54" t="s">
        <v>316</v>
      </c>
      <c r="D76" s="90" t="s">
        <v>317</v>
      </c>
      <c r="E76" s="49" t="s">
        <v>211</v>
      </c>
      <c r="F76" s="49" t="s">
        <v>175</v>
      </c>
      <c r="G76" s="49" t="s">
        <v>176</v>
      </c>
      <c r="H76" s="49" t="s">
        <v>298</v>
      </c>
      <c r="I76" s="49" t="s">
        <v>299</v>
      </c>
      <c r="J76" s="49" t="s">
        <v>300</v>
      </c>
      <c r="K76" s="49" t="s">
        <v>318</v>
      </c>
      <c r="L76" s="51">
        <v>168</v>
      </c>
      <c r="M76" s="89"/>
      <c r="N76" s="49">
        <f t="shared" si="8"/>
        <v>0</v>
      </c>
      <c r="O76" s="55">
        <v>0</v>
      </c>
      <c r="P76" s="55">
        <v>0</v>
      </c>
      <c r="Q76" s="52">
        <v>0</v>
      </c>
      <c r="R76" s="89">
        <v>0</v>
      </c>
      <c r="S76" s="49">
        <f t="shared" si="9"/>
        <v>168</v>
      </c>
      <c r="T76" s="52">
        <v>168</v>
      </c>
      <c r="U76" s="55">
        <v>0</v>
      </c>
      <c r="V76" s="55">
        <v>0</v>
      </c>
      <c r="W76" s="57" t="s">
        <v>79</v>
      </c>
      <c r="X76" s="49" t="s">
        <v>319</v>
      </c>
    </row>
    <row r="77" ht="37.5" spans="1:24">
      <c r="A77" s="49">
        <v>59</v>
      </c>
      <c r="B77" s="50" t="s">
        <v>30</v>
      </c>
      <c r="C77" s="50" t="s">
        <v>320</v>
      </c>
      <c r="D77" s="49" t="s">
        <v>321</v>
      </c>
      <c r="E77" s="49" t="s">
        <v>211</v>
      </c>
      <c r="F77" s="49" t="s">
        <v>159</v>
      </c>
      <c r="G77" s="49" t="s">
        <v>322</v>
      </c>
      <c r="H77" s="50" t="s">
        <v>36</v>
      </c>
      <c r="I77" s="50" t="s">
        <v>37</v>
      </c>
      <c r="J77" s="50" t="s">
        <v>194</v>
      </c>
      <c r="K77" s="50" t="s">
        <v>323</v>
      </c>
      <c r="L77" s="51">
        <v>300</v>
      </c>
      <c r="M77" s="89"/>
      <c r="N77" s="49">
        <f t="shared" si="8"/>
        <v>0</v>
      </c>
      <c r="O77" s="55">
        <v>0</v>
      </c>
      <c r="P77" s="55">
        <v>0</v>
      </c>
      <c r="Q77" s="52">
        <v>0</v>
      </c>
      <c r="R77" s="89">
        <v>0</v>
      </c>
      <c r="S77" s="49">
        <f t="shared" si="9"/>
        <v>279.1</v>
      </c>
      <c r="T77" s="52">
        <v>279.1</v>
      </c>
      <c r="U77" s="51">
        <v>20.9</v>
      </c>
      <c r="V77" s="55">
        <v>0</v>
      </c>
      <c r="W77" s="57" t="s">
        <v>79</v>
      </c>
      <c r="X77" s="49" t="s">
        <v>200</v>
      </c>
    </row>
    <row r="78" ht="108" customHeight="1" spans="1:24">
      <c r="A78" s="49">
        <v>60</v>
      </c>
      <c r="B78" s="50" t="s">
        <v>30</v>
      </c>
      <c r="C78" s="49" t="s">
        <v>324</v>
      </c>
      <c r="D78" s="90" t="s">
        <v>325</v>
      </c>
      <c r="E78" s="49" t="s">
        <v>326</v>
      </c>
      <c r="F78" s="49" t="s">
        <v>47</v>
      </c>
      <c r="G78" s="49" t="s">
        <v>48</v>
      </c>
      <c r="H78" s="50" t="s">
        <v>36</v>
      </c>
      <c r="I78" s="50" t="s">
        <v>37</v>
      </c>
      <c r="J78" s="50" t="s">
        <v>194</v>
      </c>
      <c r="K78" s="49" t="s">
        <v>327</v>
      </c>
      <c r="L78" s="51">
        <v>221.85</v>
      </c>
      <c r="M78" s="89"/>
      <c r="N78" s="49">
        <f t="shared" si="8"/>
        <v>0</v>
      </c>
      <c r="O78" s="55">
        <v>0</v>
      </c>
      <c r="P78" s="55">
        <v>0</v>
      </c>
      <c r="Q78" s="52">
        <v>0</v>
      </c>
      <c r="R78" s="89">
        <v>0</v>
      </c>
      <c r="S78" s="49">
        <f t="shared" si="9"/>
        <v>0</v>
      </c>
      <c r="T78" s="55">
        <v>0</v>
      </c>
      <c r="U78" s="51">
        <v>221.85</v>
      </c>
      <c r="V78" s="55">
        <v>0</v>
      </c>
      <c r="W78" s="57" t="s">
        <v>79</v>
      </c>
      <c r="X78" s="49" t="s">
        <v>328</v>
      </c>
    </row>
    <row r="79" ht="56.25" spans="1:24">
      <c r="A79" s="49">
        <v>61</v>
      </c>
      <c r="B79" s="50" t="s">
        <v>102</v>
      </c>
      <c r="C79" s="49" t="s">
        <v>329</v>
      </c>
      <c r="D79" s="90" t="s">
        <v>330</v>
      </c>
      <c r="E79" s="49" t="s">
        <v>219</v>
      </c>
      <c r="F79" s="49" t="s">
        <v>192</v>
      </c>
      <c r="G79" s="49" t="s">
        <v>331</v>
      </c>
      <c r="H79" s="49" t="s">
        <v>332</v>
      </c>
      <c r="I79" s="50" t="s">
        <v>102</v>
      </c>
      <c r="J79" s="50" t="s">
        <v>102</v>
      </c>
      <c r="K79" s="52" t="s">
        <v>333</v>
      </c>
      <c r="L79" s="49">
        <v>480</v>
      </c>
      <c r="M79" s="55"/>
      <c r="N79" s="49">
        <f t="shared" si="8"/>
        <v>0</v>
      </c>
      <c r="O79" s="55">
        <v>0</v>
      </c>
      <c r="P79" s="55">
        <v>0</v>
      </c>
      <c r="Q79" s="52">
        <v>0</v>
      </c>
      <c r="R79" s="55">
        <v>0</v>
      </c>
      <c r="S79" s="49">
        <f t="shared" si="9"/>
        <v>0</v>
      </c>
      <c r="T79" s="55">
        <v>0</v>
      </c>
      <c r="U79" s="55">
        <v>0</v>
      </c>
      <c r="V79" s="49">
        <v>480</v>
      </c>
      <c r="W79" s="57" t="s">
        <v>79</v>
      </c>
      <c r="X79" s="49" t="s">
        <v>334</v>
      </c>
    </row>
    <row r="80" ht="56.25" spans="1:24">
      <c r="A80" s="49">
        <v>62</v>
      </c>
      <c r="B80" s="50" t="s">
        <v>120</v>
      </c>
      <c r="C80" s="49" t="s">
        <v>335</v>
      </c>
      <c r="D80" s="90" t="s">
        <v>336</v>
      </c>
      <c r="E80" s="49" t="s">
        <v>219</v>
      </c>
      <c r="F80" s="49" t="s">
        <v>192</v>
      </c>
      <c r="G80" s="49" t="s">
        <v>331</v>
      </c>
      <c r="H80" s="49" t="s">
        <v>332</v>
      </c>
      <c r="I80" s="50" t="s">
        <v>120</v>
      </c>
      <c r="J80" s="50" t="s">
        <v>120</v>
      </c>
      <c r="K80" s="52" t="s">
        <v>337</v>
      </c>
      <c r="L80" s="49">
        <v>490</v>
      </c>
      <c r="M80" s="55"/>
      <c r="N80" s="49">
        <f t="shared" si="8"/>
        <v>0</v>
      </c>
      <c r="O80" s="55">
        <v>0</v>
      </c>
      <c r="P80" s="55">
        <v>0</v>
      </c>
      <c r="Q80" s="52">
        <v>0</v>
      </c>
      <c r="R80" s="55">
        <v>0</v>
      </c>
      <c r="S80" s="49">
        <f t="shared" si="9"/>
        <v>0</v>
      </c>
      <c r="T80" s="55">
        <v>0</v>
      </c>
      <c r="U80" s="55">
        <v>0</v>
      </c>
      <c r="V80" s="49">
        <v>490</v>
      </c>
      <c r="W80" s="57" t="s">
        <v>79</v>
      </c>
      <c r="X80" s="49" t="s">
        <v>334</v>
      </c>
    </row>
    <row r="81" ht="56.25" spans="1:24">
      <c r="A81" s="49">
        <v>63</v>
      </c>
      <c r="B81" s="50" t="s">
        <v>303</v>
      </c>
      <c r="C81" s="49" t="s">
        <v>338</v>
      </c>
      <c r="D81" s="90" t="s">
        <v>339</v>
      </c>
      <c r="E81" s="49" t="s">
        <v>219</v>
      </c>
      <c r="F81" s="49" t="s">
        <v>192</v>
      </c>
      <c r="G81" s="49" t="s">
        <v>331</v>
      </c>
      <c r="H81" s="49" t="s">
        <v>332</v>
      </c>
      <c r="I81" s="50" t="s">
        <v>303</v>
      </c>
      <c r="J81" s="50" t="s">
        <v>303</v>
      </c>
      <c r="K81" s="52" t="s">
        <v>340</v>
      </c>
      <c r="L81" s="49">
        <v>450</v>
      </c>
      <c r="M81" s="55"/>
      <c r="N81" s="49">
        <f t="shared" si="8"/>
        <v>0</v>
      </c>
      <c r="O81" s="55">
        <v>0</v>
      </c>
      <c r="P81" s="55">
        <v>0</v>
      </c>
      <c r="Q81" s="52">
        <v>0</v>
      </c>
      <c r="R81" s="55">
        <v>0</v>
      </c>
      <c r="S81" s="49">
        <f t="shared" si="9"/>
        <v>0</v>
      </c>
      <c r="T81" s="55">
        <v>0</v>
      </c>
      <c r="U81" s="55">
        <v>0</v>
      </c>
      <c r="V81" s="49">
        <v>450</v>
      </c>
      <c r="W81" s="57" t="s">
        <v>79</v>
      </c>
      <c r="X81" s="49" t="s">
        <v>334</v>
      </c>
    </row>
    <row r="82" ht="56.25" spans="1:24">
      <c r="A82" s="49">
        <v>64</v>
      </c>
      <c r="B82" s="50" t="s">
        <v>128</v>
      </c>
      <c r="C82" s="49" t="s">
        <v>341</v>
      </c>
      <c r="D82" s="90" t="s">
        <v>342</v>
      </c>
      <c r="E82" s="49" t="s">
        <v>219</v>
      </c>
      <c r="F82" s="49" t="s">
        <v>192</v>
      </c>
      <c r="G82" s="49" t="s">
        <v>331</v>
      </c>
      <c r="H82" s="49" t="s">
        <v>332</v>
      </c>
      <c r="I82" s="50" t="s">
        <v>128</v>
      </c>
      <c r="J82" s="50" t="s">
        <v>128</v>
      </c>
      <c r="K82" s="52" t="s">
        <v>343</v>
      </c>
      <c r="L82" s="49">
        <v>490</v>
      </c>
      <c r="M82" s="55"/>
      <c r="N82" s="49">
        <f t="shared" si="8"/>
        <v>0</v>
      </c>
      <c r="O82" s="55">
        <v>0</v>
      </c>
      <c r="P82" s="55">
        <v>0</v>
      </c>
      <c r="Q82" s="52">
        <v>0</v>
      </c>
      <c r="R82" s="55">
        <v>0</v>
      </c>
      <c r="S82" s="49">
        <f t="shared" si="9"/>
        <v>0</v>
      </c>
      <c r="T82" s="55">
        <v>0</v>
      </c>
      <c r="U82" s="55">
        <v>0</v>
      </c>
      <c r="V82" s="49">
        <v>490</v>
      </c>
      <c r="W82" s="57" t="s">
        <v>79</v>
      </c>
      <c r="X82" s="49" t="s">
        <v>334</v>
      </c>
    </row>
    <row r="83" ht="56.25" spans="1:24">
      <c r="A83" s="49">
        <v>65</v>
      </c>
      <c r="B83" s="50" t="s">
        <v>102</v>
      </c>
      <c r="C83" s="49" t="s">
        <v>344</v>
      </c>
      <c r="D83" s="90" t="s">
        <v>345</v>
      </c>
      <c r="E83" s="49" t="s">
        <v>219</v>
      </c>
      <c r="F83" s="49" t="s">
        <v>192</v>
      </c>
      <c r="G83" s="49" t="s">
        <v>331</v>
      </c>
      <c r="H83" s="49" t="s">
        <v>332</v>
      </c>
      <c r="I83" s="50" t="s">
        <v>102</v>
      </c>
      <c r="J83" s="50" t="s">
        <v>102</v>
      </c>
      <c r="K83" s="52" t="s">
        <v>346</v>
      </c>
      <c r="L83" s="49">
        <v>460</v>
      </c>
      <c r="M83" s="55"/>
      <c r="N83" s="49">
        <f t="shared" si="8"/>
        <v>0</v>
      </c>
      <c r="O83" s="55">
        <v>0</v>
      </c>
      <c r="P83" s="55">
        <v>0</v>
      </c>
      <c r="Q83" s="52">
        <v>0</v>
      </c>
      <c r="R83" s="55">
        <v>0</v>
      </c>
      <c r="S83" s="49">
        <f t="shared" si="9"/>
        <v>0</v>
      </c>
      <c r="T83" s="55">
        <v>0</v>
      </c>
      <c r="U83" s="55">
        <v>0</v>
      </c>
      <c r="V83" s="49">
        <v>460</v>
      </c>
      <c r="W83" s="57" t="s">
        <v>79</v>
      </c>
      <c r="X83" s="49" t="s">
        <v>334</v>
      </c>
    </row>
    <row r="84" ht="75" spans="1:24">
      <c r="A84" s="49">
        <v>66</v>
      </c>
      <c r="B84" s="50" t="s">
        <v>347</v>
      </c>
      <c r="C84" s="49" t="s">
        <v>348</v>
      </c>
      <c r="D84" s="90" t="s">
        <v>349</v>
      </c>
      <c r="E84" s="49" t="s">
        <v>219</v>
      </c>
      <c r="F84" s="49" t="s">
        <v>192</v>
      </c>
      <c r="G84" s="49" t="s">
        <v>193</v>
      </c>
      <c r="H84" s="49" t="s">
        <v>332</v>
      </c>
      <c r="I84" s="50" t="s">
        <v>347</v>
      </c>
      <c r="J84" s="50" t="s">
        <v>347</v>
      </c>
      <c r="K84" s="52" t="s">
        <v>350</v>
      </c>
      <c r="L84" s="49">
        <v>463</v>
      </c>
      <c r="M84" s="55"/>
      <c r="N84" s="49">
        <f t="shared" si="8"/>
        <v>0</v>
      </c>
      <c r="O84" s="55">
        <v>0</v>
      </c>
      <c r="P84" s="55">
        <v>0</v>
      </c>
      <c r="Q84" s="52">
        <v>0</v>
      </c>
      <c r="R84" s="55">
        <v>0</v>
      </c>
      <c r="S84" s="49">
        <f t="shared" si="9"/>
        <v>0</v>
      </c>
      <c r="T84" s="55">
        <v>0</v>
      </c>
      <c r="U84" s="55">
        <v>0</v>
      </c>
      <c r="V84" s="49">
        <v>463</v>
      </c>
      <c r="W84" s="57" t="s">
        <v>79</v>
      </c>
      <c r="X84" s="49" t="s">
        <v>334</v>
      </c>
    </row>
    <row r="85" ht="56.25" spans="1:24">
      <c r="A85" s="49">
        <v>67</v>
      </c>
      <c r="B85" s="50" t="s">
        <v>347</v>
      </c>
      <c r="C85" s="49" t="s">
        <v>351</v>
      </c>
      <c r="D85" s="90" t="s">
        <v>352</v>
      </c>
      <c r="E85" s="49" t="s">
        <v>219</v>
      </c>
      <c r="F85" s="49" t="s">
        <v>192</v>
      </c>
      <c r="G85" s="49" t="s">
        <v>331</v>
      </c>
      <c r="H85" s="49" t="s">
        <v>332</v>
      </c>
      <c r="I85" s="50" t="s">
        <v>347</v>
      </c>
      <c r="J85" s="50" t="s">
        <v>347</v>
      </c>
      <c r="K85" s="52" t="s">
        <v>353</v>
      </c>
      <c r="L85" s="49">
        <v>437</v>
      </c>
      <c r="M85" s="55"/>
      <c r="N85" s="49">
        <f t="shared" si="8"/>
        <v>0</v>
      </c>
      <c r="O85" s="55">
        <v>0</v>
      </c>
      <c r="P85" s="55">
        <v>0</v>
      </c>
      <c r="Q85" s="52">
        <v>0</v>
      </c>
      <c r="R85" s="55">
        <v>0</v>
      </c>
      <c r="S85" s="49">
        <f t="shared" si="9"/>
        <v>0</v>
      </c>
      <c r="T85" s="55">
        <v>0</v>
      </c>
      <c r="U85" s="55">
        <v>0</v>
      </c>
      <c r="V85" s="49">
        <v>437</v>
      </c>
      <c r="W85" s="57" t="s">
        <v>79</v>
      </c>
      <c r="X85" s="49" t="s">
        <v>334</v>
      </c>
    </row>
    <row r="86" ht="56.25" spans="1:24">
      <c r="A86" s="49">
        <v>68</v>
      </c>
      <c r="B86" s="50" t="s">
        <v>354</v>
      </c>
      <c r="C86" s="49" t="s">
        <v>355</v>
      </c>
      <c r="D86" s="90" t="s">
        <v>356</v>
      </c>
      <c r="E86" s="49" t="s">
        <v>219</v>
      </c>
      <c r="F86" s="49" t="s">
        <v>192</v>
      </c>
      <c r="G86" s="49" t="s">
        <v>331</v>
      </c>
      <c r="H86" s="49" t="s">
        <v>332</v>
      </c>
      <c r="I86" s="50" t="s">
        <v>354</v>
      </c>
      <c r="J86" s="50" t="s">
        <v>354</v>
      </c>
      <c r="K86" s="52" t="s">
        <v>357</v>
      </c>
      <c r="L86" s="49">
        <v>480</v>
      </c>
      <c r="M86" s="55"/>
      <c r="N86" s="49">
        <f t="shared" si="8"/>
        <v>0</v>
      </c>
      <c r="O86" s="55">
        <v>0</v>
      </c>
      <c r="P86" s="55">
        <v>0</v>
      </c>
      <c r="Q86" s="52">
        <v>0</v>
      </c>
      <c r="R86" s="55">
        <v>0</v>
      </c>
      <c r="S86" s="49">
        <f t="shared" si="9"/>
        <v>0</v>
      </c>
      <c r="T86" s="55">
        <v>0</v>
      </c>
      <c r="U86" s="55">
        <v>0</v>
      </c>
      <c r="V86" s="49">
        <v>480</v>
      </c>
      <c r="W86" s="57" t="s">
        <v>79</v>
      </c>
      <c r="X86" s="49" t="s">
        <v>334</v>
      </c>
    </row>
  </sheetData>
  <autoFilter xmlns:etc="http://www.wps.cn/officeDocument/2017/etCustomData" ref="A7:Z86" etc:filterBottomFollowUsedRange="0">
    <extLst/>
  </autoFilter>
  <mergeCells count="94">
    <mergeCell ref="A2:X2"/>
    <mergeCell ref="C5:G5"/>
    <mergeCell ref="H5:K5"/>
    <mergeCell ref="N5:W5"/>
    <mergeCell ref="O6:Q6"/>
    <mergeCell ref="A5:A7"/>
    <mergeCell ref="A43:A45"/>
    <mergeCell ref="A54:A58"/>
    <mergeCell ref="A59:A63"/>
    <mergeCell ref="B5:B7"/>
    <mergeCell ref="B43:B45"/>
    <mergeCell ref="B54:B58"/>
    <mergeCell ref="B59:B63"/>
    <mergeCell ref="C6:C7"/>
    <mergeCell ref="C43:C45"/>
    <mergeCell ref="C54:C58"/>
    <mergeCell ref="C59:C63"/>
    <mergeCell ref="D6:D7"/>
    <mergeCell ref="D43:D45"/>
    <mergeCell ref="D54:D58"/>
    <mergeCell ref="D59:D63"/>
    <mergeCell ref="E6:E7"/>
    <mergeCell ref="E43:E45"/>
    <mergeCell ref="E54:E58"/>
    <mergeCell ref="E59:E63"/>
    <mergeCell ref="F6:F7"/>
    <mergeCell ref="F43:F45"/>
    <mergeCell ref="F54:F58"/>
    <mergeCell ref="F59:F63"/>
    <mergeCell ref="G6:G7"/>
    <mergeCell ref="G43:G45"/>
    <mergeCell ref="G54:G58"/>
    <mergeCell ref="G59:G63"/>
    <mergeCell ref="H6:H7"/>
    <mergeCell ref="H43:H45"/>
    <mergeCell ref="H54:H58"/>
    <mergeCell ref="H59:H63"/>
    <mergeCell ref="I6:I7"/>
    <mergeCell ref="I43:I45"/>
    <mergeCell ref="I54:I58"/>
    <mergeCell ref="I59:I63"/>
    <mergeCell ref="J6:J7"/>
    <mergeCell ref="J43:J45"/>
    <mergeCell ref="K6:K7"/>
    <mergeCell ref="K57:K58"/>
    <mergeCell ref="K62:K63"/>
    <mergeCell ref="L5:L7"/>
    <mergeCell ref="L43:L45"/>
    <mergeCell ref="L54:L58"/>
    <mergeCell ref="L59:L63"/>
    <mergeCell ref="M5:M7"/>
    <mergeCell ref="M43:M45"/>
    <mergeCell ref="M54:M58"/>
    <mergeCell ref="M59:M63"/>
    <mergeCell ref="N6:N7"/>
    <mergeCell ref="N43:N45"/>
    <mergeCell ref="N54:N58"/>
    <mergeCell ref="N59:N63"/>
    <mergeCell ref="O43:O45"/>
    <mergeCell ref="O54:O58"/>
    <mergeCell ref="O59:O63"/>
    <mergeCell ref="P43:P45"/>
    <mergeCell ref="P54:P58"/>
    <mergeCell ref="P59:P63"/>
    <mergeCell ref="Q43:Q45"/>
    <mergeCell ref="Q54:Q58"/>
    <mergeCell ref="Q59:Q63"/>
    <mergeCell ref="R43:R45"/>
    <mergeCell ref="R54:R58"/>
    <mergeCell ref="R59:R63"/>
    <mergeCell ref="S6:S7"/>
    <mergeCell ref="S43:S45"/>
    <mergeCell ref="S54:S58"/>
    <mergeCell ref="S59:S63"/>
    <mergeCell ref="T6:T7"/>
    <mergeCell ref="T43:T45"/>
    <mergeCell ref="T54:T58"/>
    <mergeCell ref="T59:T63"/>
    <mergeCell ref="U6:U7"/>
    <mergeCell ref="U43:U45"/>
    <mergeCell ref="U54:U58"/>
    <mergeCell ref="U59:U63"/>
    <mergeCell ref="V6:V7"/>
    <mergeCell ref="V43:V45"/>
    <mergeCell ref="V54:V58"/>
    <mergeCell ref="V59:V63"/>
    <mergeCell ref="W6:W7"/>
    <mergeCell ref="W43:W45"/>
    <mergeCell ref="W54:W58"/>
    <mergeCell ref="W59:W63"/>
    <mergeCell ref="X5:X7"/>
    <mergeCell ref="X43:X45"/>
    <mergeCell ref="X54:X58"/>
    <mergeCell ref="X59:X63"/>
  </mergeCells>
  <dataValidations count="2">
    <dataValidation type="list" allowBlank="1" showInputMessage="1" showErrorMessage="1" sqref="E78">
      <formula1>'[1]项目类型 '!#REF!</formula1>
    </dataValidation>
    <dataValidation type="list" allowBlank="1" showInputMessage="1" showErrorMessage="1" sqref="F78:G78">
      <formula1>INDIRECT(E78)</formula1>
    </dataValidation>
  </dataValidations>
  <pageMargins left="0.590277777777778" right="0.432638888888889" top="0.629861111111111" bottom="0.786805555555556" header="0.5" footer="0.5"/>
  <pageSetup paperSize="9" scale="40" fitToHeight="0" orientation="landscape" horizontalDpi="600"/>
  <headerFooter>
    <oddFooter>&amp;C&amp;"方正楷体_GBK"&amp;12第 &amp;P 页，共 &amp;N 页</oddFooter>
  </headerFooter>
  <ignoredErrors>
    <ignoredError sqref="D42"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1"/>
  <sheetViews>
    <sheetView workbookViewId="0">
      <selection activeCell="D11" sqref="D11"/>
    </sheetView>
  </sheetViews>
  <sheetFormatPr defaultColWidth="9" defaultRowHeight="13.5"/>
  <cols>
    <col min="1" max="1" width="15.125" customWidth="1"/>
    <col min="2" max="3" width="12.625" customWidth="1"/>
    <col min="4" max="5" width="10.75" customWidth="1"/>
    <col min="6" max="6" width="11.25" customWidth="1"/>
    <col min="7" max="7" width="11.125" customWidth="1"/>
    <col min="8" max="8" width="10.5" customWidth="1"/>
    <col min="9" max="10" width="9.625" customWidth="1"/>
    <col min="11" max="11" width="10.875" customWidth="1"/>
    <col min="12" max="12" width="12.5" customWidth="1"/>
    <col min="13" max="15" width="11.375" customWidth="1"/>
    <col min="16" max="16" width="10.5" customWidth="1"/>
  </cols>
  <sheetData>
    <row r="1" ht="23" customHeight="1" spans="1:16">
      <c r="H1" s="1" t="s">
        <v>358</v>
      </c>
      <c r="I1" s="2"/>
      <c r="J1" s="2"/>
      <c r="K1" s="2"/>
      <c r="L1" s="2"/>
      <c r="M1" s="2"/>
      <c r="N1" s="2"/>
      <c r="O1" s="2"/>
      <c r="P1" s="3"/>
    </row>
    <row r="2" ht="18" customHeight="1" spans="1:16">
      <c r="A2" s="4" t="s">
        <v>359</v>
      </c>
      <c r="B2" s="4"/>
      <c r="C2" s="4"/>
      <c r="D2" s="4" t="s">
        <v>360</v>
      </c>
      <c r="E2" s="4"/>
      <c r="F2" s="4"/>
      <c r="H2" s="1" t="s">
        <v>359</v>
      </c>
      <c r="I2" s="2"/>
      <c r="J2" s="1" t="s">
        <v>361</v>
      </c>
      <c r="K2" s="2"/>
      <c r="L2" s="2"/>
      <c r="M2" s="2"/>
      <c r="N2" s="2"/>
      <c r="O2" s="2"/>
      <c r="P2" s="3"/>
    </row>
    <row r="3" ht="27" spans="1:16">
      <c r="A3" s="4" t="s">
        <v>362</v>
      </c>
      <c r="B3" s="4" t="s">
        <v>363</v>
      </c>
      <c r="C3" s="4" t="s">
        <v>364</v>
      </c>
      <c r="D3" s="4" t="s">
        <v>362</v>
      </c>
      <c r="E3" s="4" t="s">
        <v>363</v>
      </c>
      <c r="F3" s="4" t="s">
        <v>364</v>
      </c>
      <c r="H3" s="5" t="s">
        <v>365</v>
      </c>
      <c r="I3" s="1" t="s">
        <v>366</v>
      </c>
      <c r="J3" s="1" t="s">
        <v>365</v>
      </c>
      <c r="K3" s="2"/>
      <c r="L3" s="2"/>
      <c r="M3" s="1" t="s">
        <v>366</v>
      </c>
      <c r="N3" s="2"/>
      <c r="O3" s="2"/>
      <c r="P3" s="3"/>
    </row>
    <row r="4" ht="20.25" spans="1:16">
      <c r="A4" s="6">
        <v>6432</v>
      </c>
      <c r="B4" s="6">
        <f>10092+1390</f>
        <v>11482</v>
      </c>
      <c r="C4" s="6">
        <v>1130</v>
      </c>
      <c r="D4" s="7">
        <f>A4-D8</f>
        <v>3428</v>
      </c>
      <c r="E4" s="7">
        <f>B4-E8</f>
        <v>791</v>
      </c>
      <c r="F4" s="7">
        <f>C4-F8</f>
        <v>358.74</v>
      </c>
      <c r="H4" s="8">
        <v>3187</v>
      </c>
      <c r="I4" s="9">
        <v>11172</v>
      </c>
      <c r="J4" s="9">
        <v>2070.5</v>
      </c>
      <c r="K4" s="10"/>
      <c r="L4" s="11">
        <v>0.6497</v>
      </c>
      <c r="M4" s="9">
        <v>5954</v>
      </c>
      <c r="N4" s="10"/>
      <c r="O4" s="12">
        <v>0.5329</v>
      </c>
      <c r="P4" s="13"/>
    </row>
    <row r="5" ht="20.25" spans="1:16">
      <c r="B5" s="14"/>
      <c r="C5" s="14"/>
      <c r="D5" s="14"/>
      <c r="I5" s="15"/>
      <c r="J5" s="15"/>
      <c r="K5" s="15"/>
      <c r="L5" s="15"/>
      <c r="M5" s="15"/>
      <c r="N5" s="15"/>
      <c r="O5" s="15"/>
      <c r="P5" s="16"/>
    </row>
    <row r="6" ht="30" customHeight="1" spans="1:16">
      <c r="A6" s="17" t="s">
        <v>367</v>
      </c>
      <c r="B6" s="4" t="s">
        <v>368</v>
      </c>
      <c r="C6" s="4"/>
      <c r="D6" s="4"/>
      <c r="E6" s="4"/>
      <c r="F6" s="4"/>
      <c r="G6" s="4"/>
      <c r="H6" s="18" t="s">
        <v>369</v>
      </c>
      <c r="I6" s="19"/>
      <c r="J6" s="19"/>
      <c r="K6" s="19"/>
      <c r="L6" s="19"/>
      <c r="M6" s="19"/>
      <c r="N6" s="19"/>
      <c r="O6" s="19"/>
      <c r="P6" s="20"/>
    </row>
    <row r="7" ht="30" customHeight="1" spans="1:16">
      <c r="A7" s="21"/>
      <c r="B7" s="4" t="s">
        <v>370</v>
      </c>
      <c r="C7" s="4" t="s">
        <v>371</v>
      </c>
      <c r="D7" s="4" t="s">
        <v>372</v>
      </c>
      <c r="E7" s="4" t="s">
        <v>366</v>
      </c>
      <c r="F7" s="4" t="s">
        <v>373</v>
      </c>
      <c r="G7" s="4" t="s">
        <v>374</v>
      </c>
      <c r="H7" s="4" t="s">
        <v>375</v>
      </c>
      <c r="I7" s="4" t="s">
        <v>376</v>
      </c>
      <c r="J7" s="4" t="s">
        <v>377</v>
      </c>
      <c r="K7" s="4" t="s">
        <v>378</v>
      </c>
      <c r="L7" s="4" t="s">
        <v>379</v>
      </c>
      <c r="M7" s="4" t="s">
        <v>380</v>
      </c>
      <c r="N7" s="4" t="s">
        <v>381</v>
      </c>
      <c r="O7" s="4" t="s">
        <v>382</v>
      </c>
      <c r="P7" s="4" t="s">
        <v>378</v>
      </c>
    </row>
    <row r="8" ht="23" customHeight="1" spans="1:16">
      <c r="A8" s="4"/>
      <c r="B8" s="7">
        <f t="shared" ref="B8:H8" si="0">SUM(B9:B13)</f>
        <v>14466.26</v>
      </c>
      <c r="C8" s="7">
        <f t="shared" si="0"/>
        <v>103</v>
      </c>
      <c r="D8" s="7">
        <f t="shared" si="0"/>
        <v>3004</v>
      </c>
      <c r="E8" s="7">
        <f t="shared" si="0"/>
        <v>10691</v>
      </c>
      <c r="F8" s="7">
        <f t="shared" si="0"/>
        <v>771.26</v>
      </c>
      <c r="G8" s="7">
        <f t="shared" si="0"/>
        <v>0</v>
      </c>
      <c r="H8" s="7" t="e">
        <f>I8+J8</f>
        <v>#REF!</v>
      </c>
      <c r="I8" s="7">
        <f>SUM(I9:I13)</f>
        <v>0</v>
      </c>
      <c r="J8" s="7" t="e">
        <f>SUM(J9:J13)</f>
        <v>#REF!</v>
      </c>
      <c r="K8" s="22" t="e">
        <f>H8/A4</f>
        <v>#REF!</v>
      </c>
      <c r="L8" s="23" t="e">
        <f>M8+N8+O8</f>
        <v>#REF!</v>
      </c>
      <c r="M8" s="7">
        <f>SUM(M9:M13)</f>
        <v>0</v>
      </c>
      <c r="N8" s="7" t="e">
        <f>SUM(N9:N13)</f>
        <v>#REF!</v>
      </c>
      <c r="O8" s="7" t="e">
        <f>SUM(O9:O13)</f>
        <v>#REF!</v>
      </c>
      <c r="P8" s="22" t="e">
        <f>L8/B4</f>
        <v>#REF!</v>
      </c>
    </row>
    <row r="9" ht="28" customHeight="1" spans="1:16">
      <c r="A9" s="24" t="s">
        <v>383</v>
      </c>
      <c r="B9" s="7">
        <f>SUM(D9:G9)</f>
        <v>12620.85</v>
      </c>
      <c r="C9" s="7">
        <v>88</v>
      </c>
      <c r="D9" s="7">
        <f>SUMIFS(明细!N:N,明细!H:H,"县农业农村局")</f>
        <v>2024</v>
      </c>
      <c r="E9" s="7">
        <f>SUMIFS(明细!S:S,明细!H:H,"县农业农村局")</f>
        <v>10075</v>
      </c>
      <c r="F9" s="7">
        <f>SUMIFS(明细!U:U,明细!H:H,"县农业农村局")</f>
        <v>521.85</v>
      </c>
      <c r="G9" s="7">
        <f>SUMIFS(明细!V:V,明细!H:H,"县农业农村局")</f>
        <v>0</v>
      </c>
      <c r="H9" s="7"/>
      <c r="I9" s="7">
        <f>SUMIFS(明细!O:O,明细!H:H,"县农业农村局",明细!E:E,"产业项目")</f>
        <v>0</v>
      </c>
      <c r="J9" s="7" t="e">
        <f>SUMIFS(明细!#REF!,明细!H:H,"县农业农村局",明细!E:E,"产业项目")</f>
        <v>#REF!</v>
      </c>
      <c r="K9" s="7" t="s">
        <v>384</v>
      </c>
      <c r="L9" s="7"/>
      <c r="M9" s="7">
        <f>SUMIFS(明细!T:T,明细!H:H,"县农业农村局",明细!E:E,"产业项目")</f>
        <v>0</v>
      </c>
      <c r="N9" s="7" t="e">
        <f>SUMIFS(明细!#REF!,明细!H:H,"县农业农村局",明细!E:E,"产业项目")</f>
        <v>#REF!</v>
      </c>
      <c r="O9" s="7" t="e">
        <f>SUMIFS(明细!#REF!,明细!H:H,"县农业农村局",明细!E:E,"产业项目")</f>
        <v>#REF!</v>
      </c>
      <c r="P9" s="7" t="s">
        <v>384</v>
      </c>
    </row>
    <row r="10" ht="28" customHeight="1" spans="1:16">
      <c r="A10" s="24" t="s">
        <v>385</v>
      </c>
      <c r="B10" s="7">
        <f>SUM(D10:G10)</f>
        <v>0</v>
      </c>
      <c r="C10" s="7">
        <f>COUNTIF(明细!H:H,"县乡村振兴局")</f>
        <v>0</v>
      </c>
      <c r="D10" s="7">
        <f>SUMIFS(明细!N:N,明细!H:H,"县乡村振兴局")</f>
        <v>0</v>
      </c>
      <c r="E10" s="7">
        <f>SUMIFS(明细!S:S,明细!H:H,"县乡村振兴局")</f>
        <v>0</v>
      </c>
      <c r="F10" s="7">
        <f>SUMIFS(明细!U:U,明细!H:H,"县乡村振兴局")</f>
        <v>0</v>
      </c>
      <c r="G10" s="7">
        <f>SUMIFS(明细!V:V,明细!H:H,"县乡村振兴局")</f>
        <v>0</v>
      </c>
      <c r="H10" s="7"/>
      <c r="I10" s="7">
        <f>SUMIFS(明细!O:O,明细!H:H,"县乡村振兴局",明细!E:E,"产业项目")</f>
        <v>0</v>
      </c>
      <c r="J10" s="7" t="e">
        <f>SUMIFS(明细!#REF!,明细!H:H,"县乡村振兴局",明细!E:E,"产业项目")</f>
        <v>#REF!</v>
      </c>
      <c r="K10" s="7"/>
      <c r="L10" s="7"/>
      <c r="M10" s="7">
        <f>SUMIFS(明细!T:T,明细!H:H,"县乡村振兴局",明细!E:E,"产业项目")</f>
        <v>0</v>
      </c>
      <c r="N10" s="7" t="e">
        <f>SUMIFS(明细!#REF!,明细!H:H,"县乡村振兴局",明细!E:E,"产业项目")</f>
        <v>#REF!</v>
      </c>
      <c r="O10" s="7" t="e">
        <f>SUMIFS(明细!#REF!,明细!H:H,"县乡村振兴局",明细!E:E,"产业项目")</f>
        <v>#REF!</v>
      </c>
      <c r="P10" s="7"/>
    </row>
    <row r="11" ht="28" customHeight="1" spans="1:16">
      <c r="A11" s="24" t="s">
        <v>386</v>
      </c>
      <c r="B11" s="7">
        <f>SUM(D11:G11)</f>
        <v>1789.41</v>
      </c>
      <c r="C11" s="7">
        <f>COUNTIF(明细!H:H,"县委组织部")</f>
        <v>14</v>
      </c>
      <c r="D11" s="7">
        <f>SUMIFS(明细!N:N,明细!H:H,"县委组织部")</f>
        <v>980</v>
      </c>
      <c r="E11" s="7">
        <f>SUMIFS(明细!S:S,明细!H:H,"县委组织部")</f>
        <v>560</v>
      </c>
      <c r="F11" s="7">
        <f>SUMIFS(明细!U:U,明细!H:H,"县委组织部")</f>
        <v>249.41</v>
      </c>
      <c r="G11" s="7">
        <f>SUMIFS(明细!V:V,明细!H:H,"县委组织部")</f>
        <v>0</v>
      </c>
      <c r="H11" s="7"/>
      <c r="I11" s="7">
        <f>SUMIFS(明细!O:O,明细!H:H,"县委组织部",明细!E:E,"产业项目")</f>
        <v>0</v>
      </c>
      <c r="J11" s="7" t="e">
        <f>SUMIFS(明细!#REF!,明细!H:H,"县委组织部",明细!E:E,"产业项目")</f>
        <v>#REF!</v>
      </c>
      <c r="K11" s="7"/>
      <c r="L11" s="7"/>
      <c r="M11" s="7">
        <f>SUMIFS(明细!T:T,明细!H:H,"县委组织部",明细!E:E,"产业项目")</f>
        <v>0</v>
      </c>
      <c r="N11" s="7" t="e">
        <f>SUMIFS(明细!#REF!,明细!H:H,"县委组织部",明细!E:E,"产业项目")</f>
        <v>#REF!</v>
      </c>
      <c r="O11" s="7" t="e">
        <f>SUMIFS(明细!#REF!,明细!H:H,"县委组织部",明细!E:E,"产业项目")</f>
        <v>#REF!</v>
      </c>
      <c r="P11" s="7"/>
    </row>
    <row r="12" ht="28" customHeight="1" spans="1:16">
      <c r="A12" s="24" t="s">
        <v>387</v>
      </c>
      <c r="B12" s="7">
        <f>SUM(D12:G12)</f>
        <v>0</v>
      </c>
      <c r="C12" s="7">
        <f>COUNTIF(明细!H:H,"县交运局")</f>
        <v>0</v>
      </c>
      <c r="D12" s="7">
        <f>SUMIFS(明细!N:N,明细!H:H,"县交运局")</f>
        <v>0</v>
      </c>
      <c r="E12" s="7">
        <f>SUMIFS(明细!S:S,明细!H:H,"县交运局")</f>
        <v>0</v>
      </c>
      <c r="F12" s="7">
        <f>SUMIFS(明细!U:U,明细!H:H,"县交运局")</f>
        <v>0</v>
      </c>
      <c r="G12" s="7">
        <f>SUMIFS(明细!V:V,明细!H:H,"县交运局")</f>
        <v>0</v>
      </c>
      <c r="H12" s="7"/>
      <c r="I12" s="7">
        <f>SUMIFS(明细!O:O,明细!H:H,"县交运局",明细!E:E,"产业项目")</f>
        <v>0</v>
      </c>
      <c r="J12" s="7" t="e">
        <f>SUMIFS(明细!#REF!,明细!H:H,"县交运局",明细!E:E,"产业项目")</f>
        <v>#REF!</v>
      </c>
      <c r="K12" s="7"/>
      <c r="L12" s="7"/>
      <c r="M12" s="7">
        <f>SUMIFS(明细!T:T,明细!H:H,"县交运局",明细!E:E,"产业项目")</f>
        <v>0</v>
      </c>
      <c r="N12" s="7" t="e">
        <f>SUMIFS(明细!#REF!,明细!H:H,"县交运局",明细!E:E,"产业项目")</f>
        <v>#REF!</v>
      </c>
      <c r="O12" s="7" t="e">
        <f>SUMIFS(明细!#REF!,明细!H:H,"县交运局",明细!E:E,"产业项目")</f>
        <v>#REF!</v>
      </c>
      <c r="P12" s="7"/>
    </row>
    <row r="13" ht="28" customHeight="1" spans="1:16">
      <c r="A13" s="24" t="s">
        <v>388</v>
      </c>
      <c r="B13" s="7">
        <f>SUM(D13:G13)</f>
        <v>56</v>
      </c>
      <c r="C13" s="7">
        <f>COUNTIF(明细!H:H,"县水务局")</f>
        <v>1</v>
      </c>
      <c r="D13" s="7">
        <f>SUMIFS(明细!N:N,明细!H:H,"县水务局")</f>
        <v>0</v>
      </c>
      <c r="E13" s="7">
        <f>SUMIFS(明细!S:S,明细!H:H,"县水务局")</f>
        <v>56</v>
      </c>
      <c r="F13" s="7">
        <f>SUMIFS(明细!U:U,明细!H:H,"县水务局")</f>
        <v>0</v>
      </c>
      <c r="G13" s="7">
        <f>SUMIFS(明细!V:V,明细!H:H,"县水务局")</f>
        <v>0</v>
      </c>
      <c r="H13" s="7"/>
      <c r="I13" s="7">
        <f>SUMIFS(明细!O:O,明细!H:H,"县水务局",明细!E:E,"产业项目")</f>
        <v>0</v>
      </c>
      <c r="J13" s="7" t="e">
        <f>SUMIFS(明细!#REF!,明细!H:H,"县水务局",明细!E:E,"产业项目")</f>
        <v>#REF!</v>
      </c>
      <c r="K13" s="7"/>
      <c r="L13" s="7"/>
      <c r="M13" s="7">
        <f>SUMIFS(明细!T:T,明细!H:H,"县水务局",明细!E:E,"产业项目")</f>
        <v>0</v>
      </c>
      <c r="N13" s="7" t="e">
        <f>SUMIFS(明细!#REF!,明细!H:H,"县水务局",明细!E:E,"产业项目")</f>
        <v>#REF!</v>
      </c>
      <c r="O13" s="7" t="e">
        <f>SUMIFS(明细!#REF!,明细!H:H,"县水务局",明细!E:E,"产业项目")</f>
        <v>#REF!</v>
      </c>
      <c r="P13" s="7"/>
    </row>
    <row r="14" ht="17" customHeight="1" spans="1:16">
      <c r="A14" s="25"/>
      <c r="B14" s="25"/>
      <c r="C14" s="25"/>
      <c r="D14" s="25"/>
      <c r="E14" s="25"/>
      <c r="F14" s="25"/>
      <c r="G14" s="25"/>
      <c r="H14" s="25"/>
      <c r="I14" s="25"/>
      <c r="J14" s="25"/>
      <c r="K14" s="25"/>
      <c r="L14" s="25"/>
      <c r="M14" s="25"/>
      <c r="N14" s="25"/>
      <c r="O14" s="25"/>
      <c r="P14" s="25"/>
    </row>
    <row r="15" ht="22" customHeight="1" spans="1:16">
      <c r="A15" s="24" t="s">
        <v>389</v>
      </c>
      <c r="B15" s="7">
        <f t="shared" ref="B15:G15" si="1">SUM(B16:B41)</f>
        <v>15502.26</v>
      </c>
      <c r="C15" s="7">
        <f t="shared" si="1"/>
        <v>64</v>
      </c>
      <c r="D15" s="7">
        <f t="shared" si="1"/>
        <v>3610</v>
      </c>
      <c r="E15" s="7">
        <f t="shared" si="1"/>
        <v>10921</v>
      </c>
      <c r="F15" s="7">
        <f t="shared" si="1"/>
        <v>971.26</v>
      </c>
      <c r="G15" s="7">
        <f t="shared" si="1"/>
        <v>0</v>
      </c>
      <c r="H15" s="26"/>
    </row>
    <row r="16" ht="22" customHeight="1" spans="1:16">
      <c r="A16" s="27" t="s">
        <v>390</v>
      </c>
      <c r="B16" s="7">
        <f>SUM(D16:G16)</f>
        <v>12542.36</v>
      </c>
      <c r="C16" s="7">
        <f>COUNTIF(明细!B:B,"全县各镇")</f>
        <v>45</v>
      </c>
      <c r="D16" s="7">
        <f>SUMIFS(明细!N:N,明细!B:B,"全县各镇")</f>
        <v>2501</v>
      </c>
      <c r="E16" s="7">
        <f>SUMIFS(明细!S:S,明细!B:B,"全县各镇")</f>
        <v>9270.1</v>
      </c>
      <c r="F16" s="7">
        <f>SUMIFS(明细!U:U,明细!B:B,"全县各镇")</f>
        <v>771.26</v>
      </c>
      <c r="G16" s="7">
        <f>SUMIFS(明细!V:V,明细!B:B,"全县各镇")</f>
        <v>0</v>
      </c>
      <c r="H16" s="26"/>
    </row>
    <row r="17" ht="22" customHeight="1" spans="1:8">
      <c r="A17" s="27" t="s">
        <v>391</v>
      </c>
      <c r="B17" s="7">
        <f t="shared" ref="B17:B41" si="2">SUM(D17:G17)</f>
        <v>151</v>
      </c>
      <c r="C17" s="7">
        <f>COUNTIF(明细!B:B,"城北镇")</f>
        <v>1</v>
      </c>
      <c r="D17" s="7">
        <f>SUMIFS(明细!N:N,明细!B:B,"城北镇")</f>
        <v>0</v>
      </c>
      <c r="E17" s="7">
        <f>SUMIFS(明细!S:S,明细!B:B,"城北镇")</f>
        <v>151</v>
      </c>
      <c r="F17" s="7">
        <f>SUMIFS(明细!U:U,明细!B:B,"城北镇")</f>
        <v>0</v>
      </c>
      <c r="G17" s="7"/>
      <c r="H17" s="26"/>
    </row>
    <row r="18" ht="22" customHeight="1" spans="1:8">
      <c r="A18" s="27" t="s">
        <v>392</v>
      </c>
      <c r="B18" s="7">
        <f t="shared" si="2"/>
        <v>0</v>
      </c>
      <c r="C18" s="7">
        <f>COUNTIF(明细!B:B,"鼎屏镇")</f>
        <v>0</v>
      </c>
      <c r="D18" s="7">
        <f>SUMIFS(明细!N:N,明细!B:B,"鼎屏镇")</f>
        <v>0</v>
      </c>
      <c r="E18" s="7">
        <f>SUMIFS(明细!S:S,明细!B:B,"鼎屏镇")</f>
        <v>0</v>
      </c>
      <c r="F18" s="7">
        <f>SUMIFS(明细!U:U,明细!B:B,"鼎屏镇")</f>
        <v>0</v>
      </c>
      <c r="G18" s="7"/>
      <c r="H18" s="26"/>
    </row>
    <row r="19" ht="22" customHeight="1" spans="1:8">
      <c r="A19" s="27" t="s">
        <v>393</v>
      </c>
      <c r="B19" s="7">
        <f t="shared" si="2"/>
        <v>0</v>
      </c>
      <c r="C19" s="7">
        <f>COUNTIF(明细!B:B,"观音桥镇")</f>
        <v>0</v>
      </c>
      <c r="D19" s="7">
        <f>SUMIFS(明细!N:N,明细!B:B,"观音桥镇")</f>
        <v>0</v>
      </c>
      <c r="E19" s="7">
        <f>SUMIFS(明细!S:S,明细!B:B,"观音桥镇")</f>
        <v>0</v>
      </c>
      <c r="F19" s="7">
        <f>SUMIFS(明细!U:U,明细!B:B,"观音桥镇")</f>
        <v>0</v>
      </c>
      <c r="G19" s="7"/>
      <c r="H19" s="26"/>
    </row>
    <row r="20" ht="22" customHeight="1" spans="1:8">
      <c r="A20" s="27" t="s">
        <v>394</v>
      </c>
      <c r="B20" s="7">
        <f t="shared" si="2"/>
        <v>300</v>
      </c>
      <c r="C20" s="7">
        <f>COUNTIF(明细!B:B,"柑子镇")</f>
        <v>1</v>
      </c>
      <c r="D20" s="7">
        <f>SUMIFS(明细!N:N,明细!B:B,"柑子镇")</f>
        <v>0</v>
      </c>
      <c r="E20" s="7">
        <f>SUMIFS(明细!S:S,明细!B:B,"柑子镇")</f>
        <v>300</v>
      </c>
      <c r="F20" s="7">
        <f>SUMIFS(明细!U:U,明细!B:B,"柑子镇")</f>
        <v>0</v>
      </c>
      <c r="G20" s="7"/>
      <c r="H20" s="26"/>
    </row>
    <row r="21" ht="22" customHeight="1" spans="1:8">
      <c r="A21" s="27" t="s">
        <v>395</v>
      </c>
      <c r="B21" s="7">
        <f t="shared" si="2"/>
        <v>45</v>
      </c>
      <c r="C21" s="7">
        <f>COUNTIF(明细!B:B,"太和镇")</f>
        <v>1</v>
      </c>
      <c r="D21" s="7">
        <f>SUMIFS(明细!N:N,明细!B:B,"太和镇")</f>
        <v>0</v>
      </c>
      <c r="E21" s="7">
        <f>SUMIFS(明细!S:S,明细!B:B,"太和镇")</f>
        <v>45</v>
      </c>
      <c r="F21" s="7">
        <f>SUMIFS(明细!U:U,明细!B:B,"太和镇")</f>
        <v>0</v>
      </c>
      <c r="G21" s="7"/>
      <c r="H21" s="26"/>
    </row>
    <row r="22" ht="22" customHeight="1" spans="1:8">
      <c r="A22" s="27" t="s">
        <v>396</v>
      </c>
      <c r="B22" s="7">
        <f t="shared" si="2"/>
        <v>500</v>
      </c>
      <c r="C22" s="7">
        <f>COUNTIF(明细!B:B,"城南镇")</f>
        <v>2</v>
      </c>
      <c r="D22" s="7">
        <f>SUMIFS(明细!N:N,明细!B:B,"城南镇")</f>
        <v>107</v>
      </c>
      <c r="E22" s="7">
        <f>SUMIFS(明细!S:S,明细!B:B,"城南镇")</f>
        <v>393</v>
      </c>
      <c r="F22" s="7">
        <f>SUMIFS(明细!U:U,明细!B:B,"城南镇")</f>
        <v>0</v>
      </c>
      <c r="G22" s="7"/>
      <c r="H22" s="26"/>
    </row>
    <row r="23" ht="22" customHeight="1" spans="1:8">
      <c r="A23" s="27" t="s">
        <v>397</v>
      </c>
      <c r="B23" s="7">
        <f t="shared" si="2"/>
        <v>0</v>
      </c>
      <c r="C23" s="7">
        <f>COUNTIF(明细!B:B,"牟家镇")</f>
        <v>2</v>
      </c>
      <c r="D23" s="7">
        <f>SUMIFS(明细!N:N,明细!B:B,"牟家镇")</f>
        <v>0</v>
      </c>
      <c r="E23" s="7">
        <f>SUMIFS(明细!S:S,明细!B:B,"牟家镇")</f>
        <v>0</v>
      </c>
      <c r="F23" s="7">
        <f>SUMIFS(明细!U:U,明细!B:B,"牟家镇")</f>
        <v>0</v>
      </c>
      <c r="G23" s="7"/>
      <c r="H23" s="26"/>
    </row>
    <row r="24" ht="22" customHeight="1" spans="1:8">
      <c r="A24" s="27" t="s">
        <v>398</v>
      </c>
      <c r="B24" s="7">
        <f t="shared" si="2"/>
        <v>0</v>
      </c>
      <c r="C24" s="7">
        <f>COUNTIF(明细!B:B,"梁板镇")</f>
        <v>0</v>
      </c>
      <c r="D24" s="7">
        <f>SUMIFS(明细!N:N,明细!B:B,"梁板镇")</f>
        <v>0</v>
      </c>
      <c r="E24" s="7">
        <f>SUMIFS(明细!S:S,明细!B:B,"梁板镇")</f>
        <v>0</v>
      </c>
      <c r="F24" s="7">
        <f>SUMIFS(明细!U:U,明细!B:B,"梁板镇")</f>
        <v>0</v>
      </c>
      <c r="G24" s="7"/>
      <c r="H24" s="26"/>
    </row>
    <row r="25" ht="22" customHeight="1" spans="1:8">
      <c r="A25" s="27" t="s">
        <v>399</v>
      </c>
      <c r="B25" s="7">
        <f t="shared" si="2"/>
        <v>0</v>
      </c>
      <c r="C25" s="7">
        <f>COUNTIF(明细!B:B,"合流镇")</f>
        <v>0</v>
      </c>
      <c r="D25" s="7">
        <f>SUMIFS(明细!N:N,明细!B:B,"合流镇")</f>
        <v>0</v>
      </c>
      <c r="E25" s="7">
        <f>SUMIFS(明细!S:S,明细!B:B,"合流镇")</f>
        <v>0</v>
      </c>
      <c r="F25" s="7">
        <f>SUMIFS(明细!U:U,明细!B:B,"合流镇")</f>
        <v>0</v>
      </c>
      <c r="G25" s="7"/>
      <c r="H25" s="26"/>
    </row>
    <row r="26" ht="22" customHeight="1" spans="1:8">
      <c r="A26" s="27" t="s">
        <v>400</v>
      </c>
      <c r="B26" s="7">
        <f t="shared" si="2"/>
        <v>0</v>
      </c>
      <c r="C26" s="7">
        <f>COUNTIF(明细!B:B,"椿木镇")</f>
        <v>0</v>
      </c>
      <c r="D26" s="7">
        <f>SUMIFS(明细!N:N,明细!B:B,"椿木镇")</f>
        <v>0</v>
      </c>
      <c r="E26" s="7">
        <f>SUMIFS(明细!S:S,明细!B:B,"椿木镇")</f>
        <v>0</v>
      </c>
      <c r="F26" s="7">
        <f>SUMIFS(明细!U:U,明细!B:B,"椿木镇")</f>
        <v>0</v>
      </c>
      <c r="G26" s="7"/>
      <c r="H26" s="26"/>
    </row>
    <row r="27" ht="22" customHeight="1" spans="1:8">
      <c r="A27" s="27" t="s">
        <v>401</v>
      </c>
      <c r="B27" s="7">
        <f t="shared" si="2"/>
        <v>0</v>
      </c>
      <c r="C27" s="7">
        <f>COUNTIF(明细!B:B,"坛同镇")</f>
        <v>0</v>
      </c>
      <c r="D27" s="7">
        <f>SUMIFS(明细!N:N,明细!B:B,"坛同镇")</f>
        <v>0</v>
      </c>
      <c r="E27" s="7">
        <f>SUMIFS(明细!S:S,明细!B:B,"坛同镇")</f>
        <v>0</v>
      </c>
      <c r="F27" s="7">
        <f>SUMIFS(明细!U:U,明细!B:B,"坛同镇")</f>
        <v>0</v>
      </c>
      <c r="G27" s="7"/>
      <c r="H27" s="26"/>
    </row>
    <row r="28" ht="22" customHeight="1" spans="1:8">
      <c r="A28" s="27" t="s">
        <v>402</v>
      </c>
      <c r="B28" s="7">
        <f t="shared" si="2"/>
        <v>920</v>
      </c>
      <c r="C28" s="7">
        <v>3</v>
      </c>
      <c r="D28" s="7">
        <f>SUMIFS(明细!N:N,明细!B:B,"高滩镇")</f>
        <v>200</v>
      </c>
      <c r="E28" s="7">
        <f>SUMIFS(明细!S:S,明细!B:B,"高滩镇")</f>
        <v>520</v>
      </c>
      <c r="F28" s="7">
        <f>SUMIFS(明细!U:U,明细!B:B,"高滩镇")</f>
        <v>200</v>
      </c>
      <c r="G28" s="7"/>
      <c r="H28" s="26"/>
    </row>
    <row r="29" ht="22" customHeight="1" spans="1:8">
      <c r="A29" s="27" t="s">
        <v>403</v>
      </c>
      <c r="B29" s="7">
        <f t="shared" si="2"/>
        <v>216</v>
      </c>
      <c r="C29" s="7">
        <f>COUNTIF(明细!B:B,"两河镇")</f>
        <v>1</v>
      </c>
      <c r="D29" s="7">
        <f>SUMIFS(明细!N:N,明细!B:B,"两河镇")</f>
        <v>216</v>
      </c>
      <c r="E29" s="7">
        <f>SUMIFS(明细!S:S,明细!B:B,"两河镇")</f>
        <v>0</v>
      </c>
      <c r="F29" s="7">
        <f>SUMIFS(明细!U:U,明细!B:B,"两河镇")</f>
        <v>0</v>
      </c>
      <c r="G29" s="7"/>
      <c r="H29" s="26"/>
    </row>
    <row r="30" ht="22" customHeight="1" spans="1:8">
      <c r="A30" s="27" t="s">
        <v>404</v>
      </c>
      <c r="B30" s="7">
        <f t="shared" si="2"/>
        <v>0</v>
      </c>
      <c r="C30" s="7">
        <f>COUNTIF(明细!B:B,"石永镇")</f>
        <v>1</v>
      </c>
      <c r="D30" s="7">
        <f>SUMIFS(明细!N:N,明细!B:B,"石永镇")</f>
        <v>0</v>
      </c>
      <c r="E30" s="7">
        <f>SUMIFS(明细!S:S,明细!B:B,"石永镇")</f>
        <v>0</v>
      </c>
      <c r="F30" s="7">
        <f>SUMIFS(明细!U:U,明细!B:B,"石永镇")</f>
        <v>0</v>
      </c>
      <c r="G30" s="7"/>
      <c r="H30" s="26"/>
    </row>
    <row r="31" ht="22" customHeight="1" spans="1:8">
      <c r="A31" s="27" t="s">
        <v>405</v>
      </c>
      <c r="B31" s="7">
        <f t="shared" si="2"/>
        <v>0</v>
      </c>
      <c r="C31" s="7">
        <f>COUNTIF(明细!B:B,"王家镇")</f>
        <v>0</v>
      </c>
      <c r="D31" s="7">
        <f>SUMIFS(明细!N:N,明细!B:B,"王家镇")</f>
        <v>0</v>
      </c>
      <c r="E31" s="7">
        <f>SUMIFS(明细!S:S,明细!B:B,"王家镇")</f>
        <v>0</v>
      </c>
      <c r="F31" s="7">
        <f>SUMIFS(明细!U:U,明细!B:B,"王家镇")</f>
        <v>0</v>
      </c>
      <c r="G31" s="7"/>
      <c r="H31" s="26"/>
    </row>
    <row r="32" ht="22" customHeight="1" spans="1:8">
      <c r="A32" s="27" t="s">
        <v>406</v>
      </c>
      <c r="B32" s="7">
        <f t="shared" si="2"/>
        <v>0</v>
      </c>
      <c r="C32" s="7">
        <f>COUNTIF(明细!B:B,"三古镇")</f>
        <v>0</v>
      </c>
      <c r="D32" s="7">
        <f>SUMIFS(明细!N:N,明细!B:B,"三古镇")</f>
        <v>0</v>
      </c>
      <c r="E32" s="7">
        <f>SUMIFS(明细!S:S,明细!B:B,"三古镇")</f>
        <v>0</v>
      </c>
      <c r="F32" s="7">
        <f>SUMIFS(明细!U:U,明细!B:B,"三古镇")</f>
        <v>0</v>
      </c>
      <c r="G32" s="7"/>
      <c r="H32" s="26"/>
    </row>
    <row r="33" ht="22" customHeight="1" spans="1:8">
      <c r="A33" s="27" t="s">
        <v>407</v>
      </c>
      <c r="B33" s="7">
        <f t="shared" si="2"/>
        <v>38</v>
      </c>
      <c r="C33" s="7">
        <f>COUNTIF(明细!B:B,"袁市镇")</f>
        <v>1</v>
      </c>
      <c r="D33" s="7">
        <f>SUMIFS(明细!N:N,明细!B:B,"袁市镇")</f>
        <v>0</v>
      </c>
      <c r="E33" s="7">
        <f>SUMIFS(明细!S:S,明细!B:B,"袁市镇")</f>
        <v>38</v>
      </c>
      <c r="F33" s="7">
        <f>SUMIFS(明细!U:U,明细!B:B,"袁市镇")</f>
        <v>0</v>
      </c>
      <c r="G33" s="7"/>
      <c r="H33" s="26"/>
    </row>
    <row r="34" ht="22" customHeight="1" spans="1:8">
      <c r="A34" s="27" t="s">
        <v>408</v>
      </c>
      <c r="B34" s="7">
        <f t="shared" si="2"/>
        <v>203.9</v>
      </c>
      <c r="C34" s="7">
        <f>COUNTIF(明细!B:B,"九龙镇")</f>
        <v>1</v>
      </c>
      <c r="D34" s="7">
        <f>SUMIFS(明细!N:N,明细!B:B,"九龙镇")</f>
        <v>0</v>
      </c>
      <c r="E34" s="7">
        <f>SUMIFS(明细!S:S,明细!B:B,"九龙镇")</f>
        <v>203.9</v>
      </c>
      <c r="F34" s="7">
        <f>SUMIFS(明细!U:U,明细!B:B,"九龙镇")</f>
        <v>0</v>
      </c>
      <c r="G34" s="7"/>
      <c r="H34" s="26"/>
    </row>
    <row r="35" ht="22" customHeight="1" spans="1:8">
      <c r="A35" s="27" t="s">
        <v>409</v>
      </c>
      <c r="B35" s="7">
        <f t="shared" si="2"/>
        <v>380</v>
      </c>
      <c r="C35" s="7">
        <f>COUNTIF(明细!B:B,"御临镇")</f>
        <v>1</v>
      </c>
      <c r="D35" s="7">
        <f>SUMIFS(明细!N:N,明细!B:B,"御临镇")</f>
        <v>380</v>
      </c>
      <c r="E35" s="7">
        <f>SUMIFS(明细!S:S,明细!B:B,"御临镇")</f>
        <v>0</v>
      </c>
      <c r="F35" s="7">
        <f>SUMIFS(明细!U:U,明细!B:B,"御临镇")</f>
        <v>0</v>
      </c>
      <c r="G35" s="7"/>
      <c r="H35" s="26"/>
    </row>
    <row r="36" ht="22" customHeight="1" spans="1:8">
      <c r="A36" s="27" t="s">
        <v>410</v>
      </c>
      <c r="B36" s="7">
        <f t="shared" si="2"/>
        <v>0</v>
      </c>
      <c r="C36" s="7">
        <f>COUNTIF(明细!B:B,"复盛镇")</f>
        <v>0</v>
      </c>
      <c r="D36" s="7">
        <f>SUMIFS(明细!N:N,明细!B:B,"复盛镇")</f>
        <v>0</v>
      </c>
      <c r="E36" s="7">
        <f>SUMIFS(明细!S:S,明细!B:B,"复盛镇")</f>
        <v>0</v>
      </c>
      <c r="F36" s="7">
        <f>SUMIFS(明细!U:U,明细!B:B,"复盛镇")</f>
        <v>0</v>
      </c>
      <c r="G36" s="7"/>
      <c r="H36" s="26"/>
    </row>
    <row r="37" ht="22" customHeight="1" spans="1:8">
      <c r="A37" s="27" t="s">
        <v>411</v>
      </c>
      <c r="B37" s="7">
        <f t="shared" si="2"/>
        <v>0</v>
      </c>
      <c r="C37" s="7">
        <f>COUNTIF(明细!B:B,"八耳镇")</f>
        <v>0</v>
      </c>
      <c r="D37" s="7">
        <f>SUMIFS(明细!N:N,明细!B:B,"八耳镇")</f>
        <v>0</v>
      </c>
      <c r="E37" s="7">
        <f>SUMIFS(明细!S:S,明细!B:B,"八耳镇")</f>
        <v>0</v>
      </c>
      <c r="F37" s="7">
        <f>SUMIFS(明细!U:U,明细!B:B,"八耳镇")</f>
        <v>0</v>
      </c>
      <c r="G37" s="7"/>
      <c r="H37" s="26"/>
    </row>
    <row r="38" ht="22" customHeight="1" spans="1:8">
      <c r="A38" s="27" t="s">
        <v>412</v>
      </c>
      <c r="B38" s="7">
        <f t="shared" si="2"/>
        <v>0</v>
      </c>
      <c r="C38" s="7">
        <f>COUNTIF(明细!B:B,"石滓镇")</f>
        <v>0</v>
      </c>
      <c r="D38" s="7">
        <f>SUMIFS(明细!N:N,明细!B:B,"石滓镇")</f>
        <v>0</v>
      </c>
      <c r="E38" s="7">
        <f>SUMIFS(明细!S:S,明细!B:B,"石滓镇")</f>
        <v>0</v>
      </c>
      <c r="F38" s="7">
        <f>SUMIFS(明细!U:U,明细!B:B,"石滓镇")</f>
        <v>0</v>
      </c>
      <c r="G38" s="7"/>
      <c r="H38" s="26"/>
    </row>
    <row r="39" ht="22" customHeight="1" spans="1:8">
      <c r="A39" s="27" t="s">
        <v>413</v>
      </c>
      <c r="B39" s="7">
        <f t="shared" si="2"/>
        <v>156</v>
      </c>
      <c r="C39" s="7">
        <f>COUNTIF(明细!B:B,"兴仁镇")</f>
        <v>1</v>
      </c>
      <c r="D39" s="7">
        <f>SUMIFS(明细!N:N,明细!B:B,"兴仁镇")</f>
        <v>156</v>
      </c>
      <c r="E39" s="7">
        <f>SUMIFS(明细!S:S,明细!B:B,"兴仁镇")</f>
        <v>0</v>
      </c>
      <c r="F39" s="7">
        <f>SUMIFS(明细!U:U,明细!B:B,"兴仁镇")</f>
        <v>0</v>
      </c>
      <c r="G39" s="7"/>
      <c r="H39" s="26"/>
    </row>
    <row r="40" ht="22" customHeight="1" spans="1:8">
      <c r="A40" s="27" t="s">
        <v>414</v>
      </c>
      <c r="B40" s="7">
        <f t="shared" si="2"/>
        <v>50</v>
      </c>
      <c r="C40" s="7">
        <f>COUNTIF(明细!B:B,"丰禾镇")</f>
        <v>2</v>
      </c>
      <c r="D40" s="7">
        <f>SUMIFS(明细!N:N,明细!B:B,"丰禾镇")</f>
        <v>50</v>
      </c>
      <c r="E40" s="7">
        <f>SUMIFS(明细!S:S,明细!B:B,"丰禾镇")</f>
        <v>0</v>
      </c>
      <c r="F40" s="7">
        <f>SUMIFS(明细!U:U,明细!B:B,"丰禾镇")</f>
        <v>0</v>
      </c>
      <c r="G40" s="7"/>
      <c r="H40" s="26"/>
    </row>
    <row r="41" ht="22" customHeight="1" spans="1:8">
      <c r="A41" s="27" t="s">
        <v>415</v>
      </c>
      <c r="B41" s="7">
        <f t="shared" si="2"/>
        <v>0</v>
      </c>
      <c r="C41" s="7">
        <f>COUNTIF(明细!B:B,"黎家镇")</f>
        <v>1</v>
      </c>
      <c r="D41" s="7">
        <f>SUMIFS(明细!N:N,明细!B:B,"黎家镇")</f>
        <v>0</v>
      </c>
      <c r="E41" s="7">
        <f>SUMIFS(明细!S:S,明细!B:B,"黎家镇")</f>
        <v>0</v>
      </c>
      <c r="F41" s="7">
        <f>SUMIFS(明细!U:U,明细!B:B,"黎家镇")</f>
        <v>0</v>
      </c>
      <c r="G41" s="7"/>
      <c r="H41" s="26"/>
    </row>
  </sheetData>
  <mergeCells count="15">
    <mergeCell ref="H1:P1"/>
    <mergeCell ref="A2:C2"/>
    <mergeCell ref="D2:F2"/>
    <mergeCell ref="H2:I2"/>
    <mergeCell ref="J2:P2"/>
    <mergeCell ref="J3:L3"/>
    <mergeCell ref="M3:P3"/>
    <mergeCell ref="J4:K4"/>
    <mergeCell ref="M4:N4"/>
    <mergeCell ref="O4:P4"/>
    <mergeCell ref="B6:G6"/>
    <mergeCell ref="H6:P6"/>
    <mergeCell ref="A6:A7"/>
    <mergeCell ref="K9:K13"/>
    <mergeCell ref="P9:P13"/>
  </mergeCells>
  <pageMargins left="0.75" right="0.75" top="1" bottom="1" header="0.5" footer="0.5"/>
  <pageSetup paperSize="9" scale="51"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明细</vt:lpstr>
      <vt:lpstr>汇总数据分析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如是我闻</cp:lastModifiedBy>
  <dcterms:created xsi:type="dcterms:W3CDTF">2023-12-08T00:01:00Z</dcterms:created>
  <dcterms:modified xsi:type="dcterms:W3CDTF">2025-12-31T00:48:00Z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2D139263C52470C3769E536933AB930E</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